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richData/rdrichvalue.xml" ContentType="application/vnd.ms-excel.rdrichvalu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nss\Desktop\Locação de Veículo SC -2025\"/>
    </mc:Choice>
  </mc:AlternateContent>
  <bookViews>
    <workbookView xWindow="0" yWindow="0" windowWidth="28800" windowHeight="12420" tabRatio="813"/>
  </bookViews>
  <sheets>
    <sheet name="Formação de Preços" sheetId="2" r:id="rId1"/>
    <sheet name="Informações e Quantidades" sheetId="3" r:id="rId2"/>
    <sheet name="SC " sheetId="12" r:id="rId3"/>
    <sheet name="Valores e modelos Veículos" sheetId="8" r:id="rId4"/>
    <sheet name="Veículos - Custo Fixo" sheetId="5" r:id="rId5"/>
    <sheet name="Veículos - Custo Variável" sheetId="6" r:id="rId6"/>
    <sheet name="Ajuda de Custo" sheetId="7" r:id="rId7"/>
    <sheet name="VT, Uniforme e Plano Celular" sheetId="9" r:id="rId8"/>
    <sheet name="Combustíveis e Pedágios" sheetId="10" r:id="rId9"/>
  </sheets>
  <externalReferences>
    <externalReference r:id="rId10"/>
    <externalReference r:id="rId11"/>
  </externalReferences>
  <definedNames>
    <definedName name="COFINS">#REF!</definedName>
    <definedName name="COFINSM">#REF!</definedName>
    <definedName name="custos_indiretos">#REF!</definedName>
    <definedName name="custos_indiretosM">#REF!</definedName>
    <definedName name="Excel_BuiltIn_Print_Area_1_1">"$#REF!.$A$2:$C$99"</definedName>
    <definedName name="Excel_BuiltIn_Print_Area_10">"$#REF!.$A$1:$C$71"</definedName>
    <definedName name="Excel_BuiltIn_Print_Area_11">"$#REF!.$A$1:$C$71"</definedName>
    <definedName name="Excel_BuiltIn_Print_Area_12">"$#REF!.$A$1:$C$71"</definedName>
    <definedName name="Excel_BuiltIn_Print_Area_13">"$#REF!.$A$1:$C$71"</definedName>
    <definedName name="Excel_BuiltIn_Print_Area_14">"$#REF!.$A$1:$C$71"</definedName>
    <definedName name="Excel_BuiltIn_Print_Area_15">"$#REF!.$A$1:$C$71"</definedName>
    <definedName name="Excel_BuiltIn_Print_Area_16">"$#REF!.$A$1:$C$71"</definedName>
    <definedName name="Excel_BuiltIn_Print_Area_17">"$#REF!.$A$1:$C$71"</definedName>
    <definedName name="Excel_BuiltIn_Print_Area_2">"$#REF!.$A$1:$C$72"</definedName>
    <definedName name="Excel_BuiltIn_Print_Area_4">"$#REF!.$A$1:$C$71"</definedName>
    <definedName name="Excel_BuiltIn_Print_Area_5">"$#REF!.$A$1:$C$71"</definedName>
    <definedName name="Excel_BuiltIn_Print_Area_6">"$#REF!.$A$1:$C$71"</definedName>
    <definedName name="Excel_BuiltIn_Print_Area_7">"$#REF!.$A$1:$C$71"</definedName>
    <definedName name="Excel_BuiltIn_Print_Area_8">"$#REF!.$A$1:$C$71"</definedName>
    <definedName name="Excel_BuiltIn_Print_Area_9">"$#REF!.$A$1:$C$71"</definedName>
    <definedName name="indice_oco_afast_matern">#REF!</definedName>
    <definedName name="indice_oco_demis">#REF!</definedName>
    <definedName name="ISS">#REF!</definedName>
    <definedName name="ISSM">#REF!</definedName>
    <definedName name="lucro">#REF!</definedName>
    <definedName name="lucroM">#REF!</definedName>
    <definedName name="M1a4">#REF!</definedName>
    <definedName name="M1a4M">#REF!</definedName>
    <definedName name="M2_">#REF!</definedName>
    <definedName name="M2_M">#REF!</definedName>
    <definedName name="M3_">#REF!</definedName>
    <definedName name="M3_M">#REF!</definedName>
    <definedName name="M4_">#REF!</definedName>
    <definedName name="M4_1">#REF!</definedName>
    <definedName name="M4_1M">#REF!</definedName>
    <definedName name="M4_2">#REF!</definedName>
    <definedName name="M4_2M">#REF!</definedName>
    <definedName name="M4_3">#REF!</definedName>
    <definedName name="M4_3M">#REF!</definedName>
    <definedName name="M4_4">#REF!</definedName>
    <definedName name="M4_4M">#REF!</definedName>
    <definedName name="M4_5">#REF!</definedName>
    <definedName name="M4_5M">#REF!</definedName>
    <definedName name="M4_6">#REF!</definedName>
    <definedName name="M4_6M">#REF!</definedName>
    <definedName name="M4_M">#REF!</definedName>
    <definedName name="M5_">#REF!</definedName>
    <definedName name="M5_M">#REF!</definedName>
    <definedName name="num_dias_aus_doenca">#REF!</definedName>
    <definedName name="num_dias_aus_legais">#REF!</definedName>
    <definedName name="perc_encargosSociais">#REF!</definedName>
    <definedName name="perc_encargosSociaisM">#REF!</definedName>
    <definedName name="perc_FGTS">#REF!</definedName>
    <definedName name="perc_FGTSM">#REF!</definedName>
    <definedName name="perc_oco_licen_patern">#REF!</definedName>
    <definedName name="perc_ocor_acid_trab">#REF!</definedName>
    <definedName name="PIS">#REF!</definedName>
    <definedName name="PISM">#REF!</definedName>
    <definedName name="Print_Area" localSheetId="2">'SC '!$A$1:$D$125</definedName>
    <definedName name="qtde_postos">#REF!</definedName>
    <definedName name="qtde_postosM">#REF!</definedName>
    <definedName name="salario_base">#REF!</definedName>
    <definedName name="salario_baseM">#REF!</definedName>
    <definedName name="salario_remuneracao">#REF!</definedName>
    <definedName name="salario_remuneracaoM">#REF!</definedName>
    <definedName name="salario13o">#REF!</definedName>
    <definedName name="salario13oM">#REF!</definedName>
    <definedName name="Valor_Mensal_Posto">#REF!</definedName>
    <definedName name="Valor_Mensal_PostoM">#REF!</definedName>
    <definedName name="valor_passagem">#REF!</definedName>
    <definedName name="valor_passagemM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9" i="2" l="1"/>
  <c r="H10" i="2"/>
  <c r="H11" i="2"/>
  <c r="H12" i="2"/>
  <c r="H13" i="2"/>
  <c r="H8" i="2"/>
  <c r="H14" i="2"/>
  <c r="Q9" i="2"/>
  <c r="R9" i="2"/>
  <c r="R11" i="2"/>
  <c r="R12" i="2"/>
  <c r="R13" i="2"/>
  <c r="R8" i="2"/>
  <c r="L9" i="2"/>
  <c r="L10" i="2"/>
  <c r="L11" i="2"/>
  <c r="L12" i="2"/>
  <c r="L13" i="2"/>
  <c r="N9" i="2"/>
  <c r="N10" i="2"/>
  <c r="N11" i="2"/>
  <c r="N12" i="2"/>
  <c r="N13" i="2"/>
  <c r="J9" i="2"/>
  <c r="J10" i="2"/>
  <c r="J11" i="2"/>
  <c r="J12" i="2"/>
  <c r="J13" i="2"/>
  <c r="J8" i="2"/>
  <c r="P10" i="2"/>
  <c r="Q8" i="2"/>
  <c r="O8" i="2"/>
  <c r="AF9" i="2"/>
  <c r="AF10" i="2"/>
  <c r="AF11" i="2"/>
  <c r="AF12" i="2"/>
  <c r="AF13" i="2"/>
  <c r="AF8" i="2"/>
  <c r="AF14" i="2" s="1"/>
  <c r="AF17" i="2" s="1"/>
  <c r="AD9" i="2"/>
  <c r="AD10" i="2"/>
  <c r="AD11" i="2"/>
  <c r="AD12" i="2"/>
  <c r="AD13" i="2"/>
  <c r="AD8" i="2"/>
  <c r="AD14" i="2" s="1"/>
  <c r="AD17" i="2" s="1"/>
  <c r="AB9" i="2"/>
  <c r="AB10" i="2"/>
  <c r="AB11" i="2"/>
  <c r="AB12" i="2"/>
  <c r="AB13" i="2"/>
  <c r="AB8" i="2"/>
  <c r="AB14" i="2" s="1"/>
  <c r="AB17" i="2" s="1"/>
  <c r="X9" i="2"/>
  <c r="X10" i="2"/>
  <c r="X11" i="2"/>
  <c r="X12" i="2"/>
  <c r="X13" i="2"/>
  <c r="X8" i="2"/>
  <c r="X14" i="2" s="1"/>
  <c r="X17" i="2" s="1"/>
  <c r="T9" i="2"/>
  <c r="V9" i="2" s="1"/>
  <c r="T10" i="2"/>
  <c r="V10" i="2" s="1"/>
  <c r="T11" i="2"/>
  <c r="V11" i="2" s="1"/>
  <c r="T12" i="2"/>
  <c r="V12" i="2" s="1"/>
  <c r="T13" i="2"/>
  <c r="V13" i="2" s="1"/>
  <c r="T8" i="2"/>
  <c r="T14" i="2" s="1"/>
  <c r="L8" i="2"/>
  <c r="F9" i="2"/>
  <c r="F10" i="2"/>
  <c r="F11" i="2"/>
  <c r="F12" i="2"/>
  <c r="F13" i="2"/>
  <c r="F8" i="2"/>
  <c r="F14" i="2" s="1"/>
  <c r="F17" i="2" s="1"/>
  <c r="Q9" i="3"/>
  <c r="Q10" i="3"/>
  <c r="Q11" i="3"/>
  <c r="Q12" i="3"/>
  <c r="Q13" i="3"/>
  <c r="Q8" i="3"/>
  <c r="P9" i="3"/>
  <c r="P10" i="3"/>
  <c r="P11" i="3"/>
  <c r="P12" i="3"/>
  <c r="P13" i="3"/>
  <c r="P8" i="3"/>
  <c r="O14" i="3"/>
  <c r="O9" i="3"/>
  <c r="O10" i="3"/>
  <c r="O11" i="3"/>
  <c r="O12" i="3"/>
  <c r="O13" i="3"/>
  <c r="O8" i="3"/>
  <c r="N8" i="3"/>
  <c r="N10" i="3"/>
  <c r="N9" i="3"/>
  <c r="N11" i="3"/>
  <c r="N12" i="3"/>
  <c r="N13" i="3"/>
  <c r="M8" i="3"/>
  <c r="M10" i="3"/>
  <c r="M9" i="3"/>
  <c r="M11" i="3"/>
  <c r="M12" i="3"/>
  <c r="M13" i="3"/>
  <c r="I14" i="3"/>
  <c r="H14" i="3"/>
  <c r="G14" i="3"/>
  <c r="F14" i="3"/>
  <c r="E14" i="3"/>
  <c r="C112" i="12"/>
  <c r="B66" i="12"/>
  <c r="C32" i="12"/>
  <c r="C33" i="12"/>
  <c r="C34" i="12"/>
  <c r="C35" i="12"/>
  <c r="C36" i="12"/>
  <c r="C37" i="12"/>
  <c r="C31" i="12"/>
  <c r="C30" i="12"/>
  <c r="C14" i="12"/>
  <c r="C4" i="12"/>
  <c r="D41" i="12"/>
  <c r="C41" i="12"/>
  <c r="E17" i="5"/>
  <c r="D17" i="5"/>
  <c r="C17" i="5"/>
  <c r="E15" i="5"/>
  <c r="D15" i="5"/>
  <c r="C15" i="5"/>
  <c r="B45" i="6"/>
  <c r="B46" i="6"/>
  <c r="B44" i="6"/>
  <c r="F14" i="6"/>
  <c r="E14" i="6"/>
  <c r="D14" i="6"/>
  <c r="C14" i="6"/>
  <c r="C12" i="6"/>
  <c r="D12" i="6"/>
  <c r="E12" i="6"/>
  <c r="C10" i="6"/>
  <c r="F11" i="6"/>
  <c r="E11" i="6"/>
  <c r="D11" i="6"/>
  <c r="C11" i="6"/>
  <c r="F40" i="8"/>
  <c r="C33" i="7"/>
  <c r="C32" i="7"/>
  <c r="C31" i="7"/>
  <c r="C40" i="7"/>
  <c r="C41" i="7"/>
  <c r="C39" i="7"/>
  <c r="D10" i="9"/>
  <c r="D9" i="9"/>
  <c r="D11" i="9"/>
  <c r="D12" i="9"/>
  <c r="D13" i="9"/>
  <c r="D8" i="9"/>
  <c r="F46" i="8"/>
  <c r="F45" i="8"/>
  <c r="F78" i="8"/>
  <c r="F73" i="8"/>
  <c r="F70" i="8"/>
  <c r="F28" i="8"/>
  <c r="F94" i="8"/>
  <c r="N8" i="2" l="1"/>
  <c r="N14" i="2" s="1"/>
  <c r="L14" i="2"/>
  <c r="T17" i="2"/>
  <c r="R10" i="2"/>
  <c r="P14" i="2"/>
  <c r="R14" i="2"/>
  <c r="H17" i="2"/>
  <c r="J14" i="2"/>
  <c r="V8" i="2"/>
  <c r="E106" i="8"/>
  <c r="F10" i="5"/>
  <c r="F15" i="8"/>
  <c r="F65" i="8"/>
  <c r="F89" i="8"/>
  <c r="F37" i="8"/>
  <c r="F38" i="8"/>
  <c r="F12" i="8"/>
  <c r="F13" i="8"/>
  <c r="F62" i="8"/>
  <c r="F63" i="8"/>
  <c r="F86" i="8"/>
  <c r="F87" i="8"/>
  <c r="C77" i="12"/>
  <c r="C21" i="12"/>
  <c r="B21" i="5"/>
  <c r="B18" i="6"/>
  <c r="C20" i="7"/>
  <c r="F53" i="8"/>
  <c r="D51" i="8"/>
  <c r="C51" i="8"/>
  <c r="D50" i="8"/>
  <c r="C50" i="8"/>
  <c r="F50" i="8"/>
  <c r="D49" i="8"/>
  <c r="C49" i="8"/>
  <c r="F48" i="8"/>
  <c r="D12" i="5" s="1"/>
  <c r="D47" i="8"/>
  <c r="C47" i="8"/>
  <c r="D46" i="8"/>
  <c r="C46" i="8"/>
  <c r="I38" i="8"/>
  <c r="AE8" i="2"/>
  <c r="C13" i="7"/>
  <c r="C12" i="7"/>
  <c r="C11" i="7"/>
  <c r="C10" i="7"/>
  <c r="C9" i="7"/>
  <c r="C8" i="7"/>
  <c r="D14" i="9"/>
  <c r="C9" i="10"/>
  <c r="D4" i="12"/>
  <c r="B126" i="12"/>
  <c r="B125" i="12"/>
  <c r="D110" i="12"/>
  <c r="B105" i="12"/>
  <c r="B104" i="12"/>
  <c r="B119" i="12" s="1"/>
  <c r="B103" i="12"/>
  <c r="B95" i="12"/>
  <c r="B101" i="12" s="1"/>
  <c r="B100" i="12" s="1"/>
  <c r="B93" i="12"/>
  <c r="B22" i="5" s="1"/>
  <c r="D77" i="12"/>
  <c r="B77" i="12"/>
  <c r="B68" i="12"/>
  <c r="B67" i="12"/>
  <c r="B65" i="12"/>
  <c r="B60" i="12"/>
  <c r="B58" i="12"/>
  <c r="B55" i="12"/>
  <c r="B38" i="12"/>
  <c r="B26" i="12"/>
  <c r="B25" i="12"/>
  <c r="C25" i="12" s="1"/>
  <c r="D14" i="12"/>
  <c r="V14" i="2" l="1"/>
  <c r="J17" i="2"/>
  <c r="R17" i="2"/>
  <c r="P17" i="2"/>
  <c r="L17" i="2"/>
  <c r="N17" i="2"/>
  <c r="F47" i="8"/>
  <c r="D11" i="5" s="1"/>
  <c r="F49" i="8"/>
  <c r="D13" i="5" s="1"/>
  <c r="C60" i="12"/>
  <c r="C58" i="12"/>
  <c r="C57" i="12"/>
  <c r="C55" i="12"/>
  <c r="C26" i="12"/>
  <c r="C27" i="12" s="1"/>
  <c r="C48" i="12" s="1"/>
  <c r="D10" i="5"/>
  <c r="F51" i="8"/>
  <c r="D10" i="6" s="1"/>
  <c r="D14" i="5"/>
  <c r="C21" i="7"/>
  <c r="B19" i="6"/>
  <c r="AE13" i="2"/>
  <c r="AE12" i="2"/>
  <c r="AE11" i="2"/>
  <c r="AE10" i="2"/>
  <c r="AE9" i="2"/>
  <c r="AE14" i="2" s="1"/>
  <c r="AE17" i="2" s="1"/>
  <c r="B118" i="12"/>
  <c r="B121" i="12" s="1"/>
  <c r="B124" i="12" s="1"/>
  <c r="B120" i="12"/>
  <c r="B123" i="12" s="1"/>
  <c r="B94" i="12"/>
  <c r="B122" i="12"/>
  <c r="B27" i="12"/>
  <c r="B48" i="12" s="1"/>
  <c r="D21" i="12"/>
  <c r="B56" i="12"/>
  <c r="C56" i="12" s="1"/>
  <c r="B59" i="12"/>
  <c r="C59" i="12" s="1"/>
  <c r="B49" i="12"/>
  <c r="B69" i="12"/>
  <c r="B98" i="12"/>
  <c r="B97" i="12" s="1"/>
  <c r="V17" i="2" l="1"/>
  <c r="B71" i="12"/>
  <c r="B76" i="12" s="1"/>
  <c r="D21" i="5"/>
  <c r="D22" i="5" s="1"/>
  <c r="C61" i="12"/>
  <c r="C114" i="12" s="1"/>
  <c r="B61" i="12"/>
  <c r="D58" i="12"/>
  <c r="D112" i="12"/>
  <c r="D57" i="12"/>
  <c r="D56" i="12"/>
  <c r="D60" i="12"/>
  <c r="D55" i="12"/>
  <c r="D26" i="12"/>
  <c r="D25" i="12"/>
  <c r="D59" i="12"/>
  <c r="D61" i="12" l="1"/>
  <c r="D114" i="12" s="1"/>
  <c r="D27" i="12"/>
  <c r="D48" i="12" l="1"/>
  <c r="C38" i="12"/>
  <c r="C49" i="12" s="1"/>
  <c r="D34" i="12"/>
  <c r="D33" i="12"/>
  <c r="D36" i="12"/>
  <c r="D32" i="12"/>
  <c r="D30" i="12"/>
  <c r="D37" i="12"/>
  <c r="D35" i="12"/>
  <c r="D31" i="12"/>
  <c r="D38" i="12" l="1"/>
  <c r="D49" i="12" s="1"/>
  <c r="C26" i="8" l="1"/>
  <c r="D26" i="8"/>
  <c r="B26" i="8"/>
  <c r="C76" i="8"/>
  <c r="D76" i="8"/>
  <c r="B76" i="8"/>
  <c r="F76" i="8" s="1"/>
  <c r="C14" i="7"/>
  <c r="D74" i="8"/>
  <c r="C74" i="8"/>
  <c r="B74" i="8"/>
  <c r="F74" i="8" s="1"/>
  <c r="D24" i="8"/>
  <c r="C24" i="8"/>
  <c r="B24" i="8"/>
  <c r="F24" i="8" s="1"/>
  <c r="D9" i="2"/>
  <c r="D10" i="2"/>
  <c r="D11" i="2"/>
  <c r="D12" i="2"/>
  <c r="D13" i="2"/>
  <c r="D8" i="2"/>
  <c r="A9" i="2"/>
  <c r="A10" i="2"/>
  <c r="A11" i="2"/>
  <c r="A12" i="2"/>
  <c r="A13" i="2"/>
  <c r="A8" i="2"/>
  <c r="B9" i="2"/>
  <c r="B10" i="2"/>
  <c r="B11" i="2"/>
  <c r="B12" i="2"/>
  <c r="B13" i="2"/>
  <c r="B8" i="2"/>
  <c r="J14" i="3"/>
  <c r="L14" i="3"/>
  <c r="D33" i="9"/>
  <c r="E9" i="9"/>
  <c r="E10" i="9"/>
  <c r="E13" i="9"/>
  <c r="D97" i="8"/>
  <c r="B31" i="6"/>
  <c r="B30" i="6"/>
  <c r="B29" i="6"/>
  <c r="E10" i="6"/>
  <c r="D75" i="8"/>
  <c r="C75" i="8"/>
  <c r="B75" i="8"/>
  <c r="E13" i="5"/>
  <c r="E12" i="5"/>
  <c r="D72" i="8"/>
  <c r="C72" i="8"/>
  <c r="B72" i="8"/>
  <c r="D71" i="8"/>
  <c r="C71" i="8"/>
  <c r="B71" i="8"/>
  <c r="I63" i="8"/>
  <c r="B34" i="5"/>
  <c r="B33" i="5"/>
  <c r="B32" i="5"/>
  <c r="E103" i="8"/>
  <c r="E104" i="8"/>
  <c r="E102" i="8"/>
  <c r="D22" i="8"/>
  <c r="C22" i="8"/>
  <c r="B22" i="8"/>
  <c r="K14" i="3"/>
  <c r="M14" i="3" l="1"/>
  <c r="N14" i="3"/>
  <c r="F71" i="8"/>
  <c r="E10" i="5" s="1"/>
  <c r="F72" i="8"/>
  <c r="E11" i="5" s="1"/>
  <c r="F75" i="8"/>
  <c r="E14" i="5" s="1"/>
  <c r="E21" i="5"/>
  <c r="E22" i="5" s="1"/>
  <c r="D24" i="9"/>
  <c r="E24" i="9" s="1"/>
  <c r="D25" i="9"/>
  <c r="E25" i="9" s="1"/>
  <c r="D9" i="10" l="1"/>
  <c r="D23" i="9"/>
  <c r="E23" i="9" s="1"/>
  <c r="D22" i="9"/>
  <c r="E22" i="9" s="1"/>
  <c r="E8" i="9"/>
  <c r="C95" i="8"/>
  <c r="B95" i="8"/>
  <c r="F95" i="8" s="1"/>
  <c r="I87" i="8"/>
  <c r="F12" i="6" s="1"/>
  <c r="F23" i="8"/>
  <c r="C12" i="5" s="1"/>
  <c r="I13" i="8"/>
  <c r="C28" i="7"/>
  <c r="C25" i="7"/>
  <c r="C22" i="7"/>
  <c r="D20" i="7"/>
  <c r="D21" i="7" s="1"/>
  <c r="D30" i="7" s="1"/>
  <c r="B27" i="6"/>
  <c r="B26" i="6"/>
  <c r="B24" i="6"/>
  <c r="B23" i="6"/>
  <c r="B20" i="6"/>
  <c r="B30" i="5"/>
  <c r="B29" i="5"/>
  <c r="B27" i="5"/>
  <c r="B26" i="5"/>
  <c r="B23" i="5"/>
  <c r="E12" i="9"/>
  <c r="E11" i="9"/>
  <c r="P14" i="3"/>
  <c r="E220" i="2"/>
  <c r="F220" i="2" s="1"/>
  <c r="E219" i="2"/>
  <c r="F219" i="2" s="1"/>
  <c r="E218" i="2"/>
  <c r="F218" i="2" s="1"/>
  <c r="E217" i="2"/>
  <c r="F217" i="2" s="1"/>
  <c r="E216" i="2"/>
  <c r="F216" i="2" s="1"/>
  <c r="E206" i="2"/>
  <c r="F206" i="2" s="1"/>
  <c r="E205" i="2"/>
  <c r="F205" i="2" s="1"/>
  <c r="E204" i="2"/>
  <c r="F204" i="2" s="1"/>
  <c r="E203" i="2"/>
  <c r="F203" i="2" s="1"/>
  <c r="E202" i="2"/>
  <c r="F202" i="2" s="1"/>
  <c r="F195" i="2"/>
  <c r="E194" i="2"/>
  <c r="F194" i="2" s="1"/>
  <c r="E193" i="2"/>
  <c r="F193" i="2" s="1"/>
  <c r="E192" i="2"/>
  <c r="F192" i="2" s="1"/>
  <c r="E191" i="2"/>
  <c r="F191" i="2" s="1"/>
  <c r="E190" i="2"/>
  <c r="F190" i="2" s="1"/>
  <c r="E196" i="2" s="1"/>
  <c r="E197" i="2" s="1"/>
  <c r="E180" i="2"/>
  <c r="F180" i="2" s="1"/>
  <c r="E179" i="2"/>
  <c r="F179" i="2" s="1"/>
  <c r="E182" i="2" s="1"/>
  <c r="F168" i="2"/>
  <c r="E167" i="2"/>
  <c r="F167" i="2" s="1"/>
  <c r="E166" i="2"/>
  <c r="F166" i="2" s="1"/>
  <c r="E165" i="2"/>
  <c r="F165" i="2" s="1"/>
  <c r="E164" i="2"/>
  <c r="F164" i="2" s="1"/>
  <c r="E163" i="2"/>
  <c r="F163" i="2" s="1"/>
  <c r="E153" i="2"/>
  <c r="F153" i="2" s="1"/>
  <c r="E152" i="2"/>
  <c r="F152" i="2" s="1"/>
  <c r="E151" i="2"/>
  <c r="F151" i="2" s="1"/>
  <c r="E150" i="2"/>
  <c r="F150" i="2" s="1"/>
  <c r="E149" i="2"/>
  <c r="F149" i="2" s="1"/>
  <c r="E155" i="2" s="1"/>
  <c r="E156" i="2" s="1"/>
  <c r="F141" i="2"/>
  <c r="F140" i="2"/>
  <c r="F139" i="2"/>
  <c r="E138" i="2"/>
  <c r="F138" i="2" s="1"/>
  <c r="E137" i="2"/>
  <c r="F137" i="2" s="1"/>
  <c r="E136" i="2"/>
  <c r="F136" i="2" s="1"/>
  <c r="F129" i="2"/>
  <c r="F128" i="2"/>
  <c r="F127" i="2"/>
  <c r="E126" i="2"/>
  <c r="F126" i="2" s="1"/>
  <c r="E125" i="2"/>
  <c r="F125" i="2" s="1"/>
  <c r="E124" i="2"/>
  <c r="F124" i="2" s="1"/>
  <c r="E114" i="2"/>
  <c r="F114" i="2" s="1"/>
  <c r="E113" i="2"/>
  <c r="F113" i="2" s="1"/>
  <c r="F103" i="2"/>
  <c r="F102" i="2"/>
  <c r="E101" i="2"/>
  <c r="F101" i="2" s="1"/>
  <c r="E100" i="2"/>
  <c r="F100" i="2" s="1"/>
  <c r="E99" i="2"/>
  <c r="F99" i="2" s="1"/>
  <c r="Z13" i="2"/>
  <c r="Z10" i="2"/>
  <c r="Z8" i="2"/>
  <c r="Q14" i="3" l="1"/>
  <c r="E25" i="5"/>
  <c r="E24" i="5"/>
  <c r="E23" i="5"/>
  <c r="E32" i="5" s="1"/>
  <c r="E38" i="5" s="1"/>
  <c r="E28" i="5"/>
  <c r="E27" i="5"/>
  <c r="E26" i="5"/>
  <c r="E33" i="5" s="1"/>
  <c r="E39" i="5" s="1"/>
  <c r="O10" i="2" s="1"/>
  <c r="O14" i="2" s="1"/>
  <c r="O17" i="2" s="1"/>
  <c r="E31" i="5"/>
  <c r="E30" i="5"/>
  <c r="E29" i="5"/>
  <c r="E34" i="5" s="1"/>
  <c r="E40" i="5" s="1"/>
  <c r="D25" i="5"/>
  <c r="D24" i="5"/>
  <c r="D23" i="5"/>
  <c r="D32" i="5" s="1"/>
  <c r="D38" i="5" s="1"/>
  <c r="K8" i="2" s="1"/>
  <c r="K14" i="2" s="1"/>
  <c r="D28" i="5"/>
  <c r="D27" i="5"/>
  <c r="D26" i="5"/>
  <c r="D33" i="5" s="1"/>
  <c r="D39" i="5" s="1"/>
  <c r="D31" i="5"/>
  <c r="D30" i="5"/>
  <c r="D29" i="5"/>
  <c r="D34" i="5" s="1"/>
  <c r="D40" i="5" s="1"/>
  <c r="E14" i="9"/>
  <c r="C96" i="8"/>
  <c r="C97" i="8"/>
  <c r="D35" i="6"/>
  <c r="D18" i="6"/>
  <c r="D21" i="8"/>
  <c r="E26" i="9"/>
  <c r="B82" i="12" s="1"/>
  <c r="Z12" i="2"/>
  <c r="B21" i="8"/>
  <c r="B25" i="8"/>
  <c r="E222" i="2"/>
  <c r="E223" i="2" s="1"/>
  <c r="E208" i="2"/>
  <c r="E210" i="2" s="1"/>
  <c r="E211" i="2" s="1"/>
  <c r="E116" i="2"/>
  <c r="E105" i="2"/>
  <c r="E142" i="2"/>
  <c r="E143" i="2" s="1"/>
  <c r="E157" i="2"/>
  <c r="E158" i="2" s="1"/>
  <c r="E184" i="2"/>
  <c r="E185" i="2" s="1"/>
  <c r="E183" i="2"/>
  <c r="E130" i="2"/>
  <c r="E131" i="2" s="1"/>
  <c r="E169" i="2"/>
  <c r="E170" i="2" s="1"/>
  <c r="D25" i="8"/>
  <c r="F22" i="8"/>
  <c r="C11" i="5" s="1"/>
  <c r="D24" i="7"/>
  <c r="D27" i="7"/>
  <c r="D23" i="7"/>
  <c r="D26" i="7"/>
  <c r="D29" i="7"/>
  <c r="C21" i="8"/>
  <c r="C13" i="5"/>
  <c r="D96" i="8"/>
  <c r="B97" i="8"/>
  <c r="F97" i="8" s="1"/>
  <c r="F20" i="8"/>
  <c r="C25" i="8"/>
  <c r="B96" i="8"/>
  <c r="F96" i="8" s="1"/>
  <c r="D22" i="7"/>
  <c r="D31" i="7" s="1"/>
  <c r="D39" i="7" s="1"/>
  <c r="W8" i="2" s="1"/>
  <c r="D25" i="7"/>
  <c r="D32" i="7" s="1"/>
  <c r="D40" i="7" s="1"/>
  <c r="W10" i="2" s="1"/>
  <c r="D28" i="7"/>
  <c r="D33" i="7" s="1"/>
  <c r="D41" i="7" s="1"/>
  <c r="W11" i="2" s="1"/>
  <c r="K17" i="2" l="1"/>
  <c r="F25" i="8"/>
  <c r="F21" i="8"/>
  <c r="C10" i="5" s="1"/>
  <c r="D82" i="12"/>
  <c r="D88" i="12" s="1"/>
  <c r="D116" i="12" s="1"/>
  <c r="C82" i="12"/>
  <c r="C88" i="12" s="1"/>
  <c r="C116" i="12" s="1"/>
  <c r="W13" i="2"/>
  <c r="W12" i="2"/>
  <c r="W9" i="2"/>
  <c r="W14" i="2" s="1"/>
  <c r="E35" i="6"/>
  <c r="E18" i="6"/>
  <c r="D19" i="6"/>
  <c r="C14" i="5"/>
  <c r="F26" i="8"/>
  <c r="Z11" i="2"/>
  <c r="Z14" i="2" s="1"/>
  <c r="Z17" i="2" s="1"/>
  <c r="E209" i="2"/>
  <c r="E106" i="2"/>
  <c r="E107" i="2"/>
  <c r="E108" i="2" s="1"/>
  <c r="E117" i="2"/>
  <c r="E118" i="2"/>
  <c r="E119" i="2" s="1"/>
  <c r="E173" i="2"/>
  <c r="E174" i="2" s="1"/>
  <c r="W17" i="2" l="1"/>
  <c r="F10" i="6"/>
  <c r="F35" i="6" s="1"/>
  <c r="C21" i="5"/>
  <c r="C22" i="5" s="1"/>
  <c r="D28" i="6"/>
  <c r="D27" i="6"/>
  <c r="D26" i="6"/>
  <c r="D31" i="6" s="1"/>
  <c r="D38" i="6" s="1"/>
  <c r="D42" i="6" s="1"/>
  <c r="D46" i="6" s="1"/>
  <c r="D25" i="6"/>
  <c r="D24" i="6"/>
  <c r="D23" i="6"/>
  <c r="D30" i="6" s="1"/>
  <c r="D37" i="6" s="1"/>
  <c r="D41" i="6" s="1"/>
  <c r="D45" i="6" s="1"/>
  <c r="D22" i="6"/>
  <c r="D21" i="6"/>
  <c r="D20" i="6"/>
  <c r="E19" i="6"/>
  <c r="E7" i="9"/>
  <c r="B40" i="12" s="1"/>
  <c r="D29" i="6"/>
  <c r="D36" i="6" s="1"/>
  <c r="D40" i="6" s="1"/>
  <c r="D44" i="6" s="1"/>
  <c r="M8" i="2" s="1"/>
  <c r="M14" i="2" s="1"/>
  <c r="F17" i="5"/>
  <c r="M17" i="2" l="1"/>
  <c r="C40" i="12"/>
  <c r="D40" i="12"/>
  <c r="D46" i="12" s="1"/>
  <c r="D50" i="12" s="1"/>
  <c r="D51" i="12" s="1"/>
  <c r="F18" i="6"/>
  <c r="F19" i="6" s="1"/>
  <c r="F22" i="6" s="1"/>
  <c r="F24" i="6"/>
  <c r="C35" i="6"/>
  <c r="C18" i="6"/>
  <c r="E28" i="6"/>
  <c r="E27" i="6"/>
  <c r="E26" i="6"/>
  <c r="E31" i="6" s="1"/>
  <c r="E38" i="6" s="1"/>
  <c r="E42" i="6" s="1"/>
  <c r="E46" i="6" s="1"/>
  <c r="E25" i="6"/>
  <c r="E24" i="6"/>
  <c r="E23" i="6"/>
  <c r="E30" i="6" s="1"/>
  <c r="E37" i="6" s="1"/>
  <c r="E41" i="6" s="1"/>
  <c r="E45" i="6" s="1"/>
  <c r="Q10" i="2" s="1"/>
  <c r="Q14" i="2" s="1"/>
  <c r="E22" i="6"/>
  <c r="E21" i="6"/>
  <c r="E20" i="6"/>
  <c r="E29" i="6" s="1"/>
  <c r="E36" i="6" s="1"/>
  <c r="E40" i="6" s="1"/>
  <c r="E44" i="6" s="1"/>
  <c r="F21" i="5"/>
  <c r="C31" i="5"/>
  <c r="C30" i="5"/>
  <c r="C29" i="5"/>
  <c r="C34" i="5" s="1"/>
  <c r="C40" i="5" s="1"/>
  <c r="G11" i="2" s="1"/>
  <c r="C28" i="5"/>
  <c r="C27" i="5"/>
  <c r="C26" i="5"/>
  <c r="C25" i="5"/>
  <c r="C24" i="5"/>
  <c r="C23" i="5"/>
  <c r="C32" i="5" s="1"/>
  <c r="C38" i="5" s="1"/>
  <c r="G8" i="2" s="1"/>
  <c r="F20" i="6" l="1"/>
  <c r="F29" i="6" s="1"/>
  <c r="F36" i="6" s="1"/>
  <c r="F40" i="6" s="1"/>
  <c r="F44" i="6" s="1"/>
  <c r="Q17" i="2"/>
  <c r="F25" i="6"/>
  <c r="F23" i="6"/>
  <c r="F30" i="6" s="1"/>
  <c r="F37" i="6" s="1"/>
  <c r="F41" i="6" s="1"/>
  <c r="F45" i="6" s="1"/>
  <c r="U12" i="2" s="1"/>
  <c r="U9" i="2"/>
  <c r="U8" i="2"/>
  <c r="F28" i="6"/>
  <c r="F26" i="6"/>
  <c r="F31" i="6" s="1"/>
  <c r="F38" i="6" s="1"/>
  <c r="F42" i="6" s="1"/>
  <c r="F46" i="6" s="1"/>
  <c r="C46" i="12"/>
  <c r="C50" i="12" s="1"/>
  <c r="C51" i="12" s="1"/>
  <c r="D68" i="12"/>
  <c r="D113" i="12"/>
  <c r="D65" i="12"/>
  <c r="D66" i="12"/>
  <c r="D69" i="12"/>
  <c r="D67" i="12"/>
  <c r="C113" i="12"/>
  <c r="C65" i="12"/>
  <c r="C66" i="12"/>
  <c r="C67" i="12"/>
  <c r="C68" i="12"/>
  <c r="C69" i="12"/>
  <c r="F21" i="6"/>
  <c r="F27" i="6"/>
  <c r="G9" i="2"/>
  <c r="F22" i="5"/>
  <c r="F28" i="5" s="1"/>
  <c r="C19" i="6"/>
  <c r="F29" i="5"/>
  <c r="F27" i="5"/>
  <c r="F25" i="5"/>
  <c r="F23" i="5"/>
  <c r="G13" i="2"/>
  <c r="C33" i="5"/>
  <c r="C39" i="5" s="1"/>
  <c r="G12" i="2" s="1"/>
  <c r="U11" i="2" l="1"/>
  <c r="U13" i="2"/>
  <c r="G14" i="2"/>
  <c r="C71" i="12"/>
  <c r="C76" i="12" s="1"/>
  <c r="C78" i="12" s="1"/>
  <c r="D71" i="12"/>
  <c r="D76" i="12" s="1"/>
  <c r="D78" i="12" s="1"/>
  <c r="F26" i="5"/>
  <c r="F33" i="5" s="1"/>
  <c r="F39" i="5" s="1"/>
  <c r="S12" i="2" s="1"/>
  <c r="F30" i="5"/>
  <c r="F31" i="5"/>
  <c r="F24" i="5"/>
  <c r="C28" i="6"/>
  <c r="C27" i="6"/>
  <c r="C26" i="6"/>
  <c r="C31" i="6" s="1"/>
  <c r="C38" i="6" s="1"/>
  <c r="C42" i="6" s="1"/>
  <c r="C46" i="6" s="1"/>
  <c r="C25" i="6"/>
  <c r="C24" i="6"/>
  <c r="C23" i="6"/>
  <c r="C30" i="6" s="1"/>
  <c r="C37" i="6" s="1"/>
  <c r="C41" i="6" s="1"/>
  <c r="C45" i="6" s="1"/>
  <c r="C22" i="6"/>
  <c r="C21" i="6"/>
  <c r="C20" i="6"/>
  <c r="C29" i="6" s="1"/>
  <c r="C36" i="6" s="1"/>
  <c r="C40" i="6" s="1"/>
  <c r="C44" i="6" s="1"/>
  <c r="F34" i="5"/>
  <c r="F40" i="5" s="1"/>
  <c r="F32" i="5"/>
  <c r="F38" i="5" s="1"/>
  <c r="U14" i="2" l="1"/>
  <c r="U17" i="2"/>
  <c r="S9" i="2"/>
  <c r="S8" i="2"/>
  <c r="S11" i="2"/>
  <c r="S13" i="2"/>
  <c r="G17" i="2"/>
  <c r="D115" i="12"/>
  <c r="D117" i="12" s="1"/>
  <c r="D92" i="12"/>
  <c r="D93" i="12"/>
  <c r="D100" i="12" s="1"/>
  <c r="C115" i="12"/>
  <c r="C117" i="12" s="1"/>
  <c r="C92" i="12"/>
  <c r="C93" i="12"/>
  <c r="C101" i="12" s="1"/>
  <c r="C100" i="12"/>
  <c r="C99" i="12"/>
  <c r="C98" i="12"/>
  <c r="C95" i="12"/>
  <c r="C94" i="12"/>
  <c r="I9" i="2"/>
  <c r="I8" i="2"/>
  <c r="I13" i="2"/>
  <c r="I11" i="2"/>
  <c r="I12" i="2"/>
  <c r="D95" i="12" l="1"/>
  <c r="C96" i="12"/>
  <c r="C102" i="12"/>
  <c r="D98" i="12"/>
  <c r="D102" i="12"/>
  <c r="D101" i="12"/>
  <c r="S14" i="2"/>
  <c r="C97" i="12"/>
  <c r="C104" i="12" s="1"/>
  <c r="C119" i="12" s="1"/>
  <c r="C122" i="12" s="1"/>
  <c r="D94" i="12"/>
  <c r="D97" i="12"/>
  <c r="D104" i="12" s="1"/>
  <c r="D119" i="12" s="1"/>
  <c r="D122" i="12" s="1"/>
  <c r="D96" i="12"/>
  <c r="D99" i="12"/>
  <c r="I14" i="2"/>
  <c r="C105" i="12"/>
  <c r="C120" i="12" s="1"/>
  <c r="C123" i="12" s="1"/>
  <c r="C126" i="12" s="1"/>
  <c r="C103" i="12"/>
  <c r="C118" i="12" s="1"/>
  <c r="C121" i="12" s="1"/>
  <c r="C124" i="12" s="1"/>
  <c r="E124" i="12" s="1"/>
  <c r="D105" i="12"/>
  <c r="D120" i="12" s="1"/>
  <c r="D123" i="12" s="1"/>
  <c r="D126" i="12" s="1"/>
  <c r="D103" i="12"/>
  <c r="D118" i="12" s="1"/>
  <c r="D121" i="12" s="1"/>
  <c r="AA8" i="2" s="1"/>
  <c r="AC11" i="2"/>
  <c r="AA11" i="2"/>
  <c r="AA13" i="2"/>
  <c r="E13" i="2"/>
  <c r="E11" i="2"/>
  <c r="AG11" i="2" l="1"/>
  <c r="AA9" i="2"/>
  <c r="AA14" i="2" s="1"/>
  <c r="AA17" i="2" s="1"/>
  <c r="E9" i="2"/>
  <c r="AG9" i="2" s="1"/>
  <c r="Y11" i="2"/>
  <c r="Y9" i="2"/>
  <c r="Y8" i="2"/>
  <c r="Y13" i="2"/>
  <c r="C125" i="12"/>
  <c r="AC12" i="2"/>
  <c r="D125" i="12"/>
  <c r="Y10" i="2"/>
  <c r="E12" i="2"/>
  <c r="Y12" i="2"/>
  <c r="AA12" i="2"/>
  <c r="E10" i="2"/>
  <c r="AG10" i="2" s="1"/>
  <c r="AC9" i="2"/>
  <c r="S17" i="2"/>
  <c r="AC8" i="2"/>
  <c r="AC13" i="2"/>
  <c r="D124" i="12"/>
  <c r="F124" i="12" s="1"/>
  <c r="E8" i="2"/>
  <c r="E14" i="2" s="1"/>
  <c r="E17" i="2" s="1"/>
  <c r="AG8" i="2"/>
  <c r="I17" i="2"/>
  <c r="Y14" i="2" l="1"/>
  <c r="Y17" i="2" s="1"/>
  <c r="AG17" i="2" s="1"/>
  <c r="AG18" i="2" s="1"/>
  <c r="AG12" i="2"/>
  <c r="AC14" i="2"/>
  <c r="AC17" i="2" s="1"/>
  <c r="AG13" i="2"/>
  <c r="AG14" i="2"/>
  <c r="AG19" i="2" l="1"/>
</calcChain>
</file>

<file path=xl/metadata.xml><?xml version="1.0" encoding="utf-8"?>
<metadata xmlns="http://schemas.openxmlformats.org/spreadsheetml/2006/main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2">
    <bk>
      <extLst>
        <ext xmlns:xlrd="http://schemas.microsoft.com/office/spreadsheetml/2017/richdata" uri="{3e2802c4-a4d2-4d8b-9148-e3be6c30e623}">
          <xlrd:rvb i="0"/>
        </ext>
      </extLst>
    </bk>
    <bk>
      <extLst>
        <ext xmlns:xlrd="http://schemas.microsoft.com/office/spreadsheetml/2017/richdata" uri="{3e2802c4-a4d2-4d8b-9148-e3be6c30e623}">
          <xlrd:rvb i="1"/>
        </ext>
      </extLst>
    </bk>
  </futureMetadata>
  <valueMetadata count="2">
    <bk>
      <rc t="1" v="0"/>
    </bk>
    <bk>
      <rc t="1" v="1"/>
    </bk>
  </valueMetadata>
</metadata>
</file>

<file path=xl/sharedStrings.xml><?xml version="1.0" encoding="utf-8"?>
<sst xmlns="http://schemas.openxmlformats.org/spreadsheetml/2006/main" count="882" uniqueCount="467">
  <si>
    <t>SANTA CATARINA</t>
  </si>
  <si>
    <t>ANEXO IV – PLANILHA ESTIMATIVA DE CUSTOS</t>
  </si>
  <si>
    <t>Planilha Estimativa de Custos - Processo 35014.425469/2024-69</t>
  </si>
  <si>
    <t>Serviço Continuado de Locação de Veículo com e sem Motorista</t>
  </si>
  <si>
    <t>PLANILHA DE FORMAÇÃO DE PREÇOS</t>
  </si>
  <si>
    <t>MOTORISTA</t>
  </si>
  <si>
    <t>VEÍCULOS SEDAN COM MOTORISTA</t>
  </si>
  <si>
    <t>VEÍCULOS SEDAN SEM MOTORISTA</t>
  </si>
  <si>
    <t>VEÍCULOS PICK - UP</t>
  </si>
  <si>
    <t>FURGÃO</t>
  </si>
  <si>
    <t>HORAS EXTRAS =</t>
  </si>
  <si>
    <t>AJUDA DE CUSTO</t>
  </si>
  <si>
    <t>MOTORISTA VEÍCULOS</t>
  </si>
  <si>
    <t>MOTORISTA FURGÃO</t>
  </si>
  <si>
    <t>AJUDANTE FURGÃO</t>
  </si>
  <si>
    <t>PEDÁGIO</t>
  </si>
  <si>
    <t>#</t>
  </si>
  <si>
    <t>UNIDADE</t>
  </si>
  <si>
    <t>VEÍCULO</t>
  </si>
  <si>
    <t>ISS</t>
  </si>
  <si>
    <t>VALOR/MÊS</t>
  </si>
  <si>
    <t>QTD</t>
  </si>
  <si>
    <t>VALOR FIXO/MÊS</t>
  </si>
  <si>
    <t>R$/km rodado</t>
  </si>
  <si>
    <t>km/mês</t>
  </si>
  <si>
    <t>VALOR FIXO/DIÁRIA</t>
  </si>
  <si>
    <t>R$</t>
  </si>
  <si>
    <t>R$/HORA</t>
  </si>
  <si>
    <t>VALOR MÉDIO</t>
  </si>
  <si>
    <t>TOTAL</t>
  </si>
  <si>
    <t>SEDAN</t>
  </si>
  <si>
    <t>PICK-UP</t>
  </si>
  <si>
    <t>TOTAL GERAL</t>
  </si>
  <si>
    <t>MENSAL</t>
  </si>
  <si>
    <t>GLOBAL 24 MESES</t>
  </si>
  <si>
    <t>ITEM 8 – GEXLON (PASSEIO/MOTORISTA/CONTÍNUO)</t>
  </si>
  <si>
    <t>Serviço de transporte de servidores e materiais (pequenos volumes), com disponibilização de veículo tipo passeio, de forma contínua e cessão de motorista devidamente habilitado (com dedicação exclusiva de mão de obra), para Gerência Executiva do INSS em Londrina/PR</t>
  </si>
  <si>
    <t>SUBITEM</t>
  </si>
  <si>
    <t>DESCRIÇÃO</t>
  </si>
  <si>
    <t>PREÇO UNITÁRIO</t>
  </si>
  <si>
    <t>VALOR TOTAL</t>
  </si>
  <si>
    <t>Disponibilização de um veículo de forma contínua (mês)</t>
  </si>
  <si>
    <t>Disponibilização de um motorista de forma contínua (mês)</t>
  </si>
  <si>
    <t>Valor do km rodado (no máximo, 3000 km/mês)</t>
  </si>
  <si>
    <t>Pernoite (no máximo, 4 por mês)</t>
  </si>
  <si>
    <t>Hora extra 50% (no máximo, 20h/mês)</t>
  </si>
  <si>
    <t>Pedágio (valor estimado mês)</t>
  </si>
  <si>
    <t>VALOR ESTIMADO MENSAL (Unidade de fornecimento):</t>
  </si>
  <si>
    <t>VALOR ESTIMADO MENSAL (2 veículos):</t>
  </si>
  <si>
    <t>VALOR ESTIMADO ANUAL:</t>
  </si>
  <si>
    <t>VALOR ESTIMADO ANUAL (2 VEÍCULOS):</t>
  </si>
  <si>
    <t>ITEM 9 – GEXLON (PASSEIO/CONTÍNUO)</t>
  </si>
  <si>
    <t>Serviço de transporte de servidores e materiais (pequenos volumes), com disponibilização de veículo tipo passeio, de forma contínua, para Gerência Executiva do INSS em Londrina/PR</t>
  </si>
  <si>
    <t>Disponibilização de um veículo de forma contínua</t>
  </si>
  <si>
    <t>ITEM 10 – GEXLON (PICKUP/MOTORISTA/POR DEMANDA)</t>
  </si>
  <si>
    <t>Serviço de transporte de servidores e materiais, com disponibilização de veículo tipo caminhonete/pick up, por demanda (tarefa), e cessão de motorista devidamente habilitado para Gerência Executiva do INSS em Londrina/PR</t>
  </si>
  <si>
    <t>Disponibilização de um veículo (4 diárias/mês)</t>
  </si>
  <si>
    <t>Disponibilização de um motorista (4 diárias/mês)</t>
  </si>
  <si>
    <t>Valor do km rodado (no máximo, 500 km/dia x 4 diárias/mês)</t>
  </si>
  <si>
    <t>Pernoite (no máximo, 2 por mês)</t>
  </si>
  <si>
    <t>Hora extra 50% (no máximo, 05h/mês)</t>
  </si>
  <si>
    <t>Pedágio (valor estimado dia)</t>
  </si>
  <si>
    <t>ITEM 11 – GEXLON (FURGÃO/MOTORISTA/POR DEMANDA)</t>
  </si>
  <si>
    <t>Serviço de transporte de servidores e materiais, com disponibilização de veículo tipo utilitário/furgão, por demanda (tarefa), e cessão de motorista devidamente habilitado para Gerência Executiva do INSS em Londrina/PR</t>
  </si>
  <si>
    <t>LOTE 2 (ITENS 12 E 13)</t>
  </si>
  <si>
    <t>ITEM 12 – GEXMRG (PASSEIO/MOTORISTA/CONTÍNUO)</t>
  </si>
  <si>
    <t>Serviço de transporte de servidores e materiais (pequenos volumes), com disponibilização de veículo tipo passeio, de forma contínua e cessão de motorista devidamente habilitado (com dedicação exclusiva de mão-de-obra), para Gerência Executiva do INSS em Maringá/PR.</t>
  </si>
  <si>
    <t>VALOR ESTIMADO ANUAL (2 veículos):</t>
  </si>
  <si>
    <t>ITEM 13 – GEXMRG (PASSEIO/MOTORISTA/POR DEMANDA)</t>
  </si>
  <si>
    <t>Serviço de transporte de servidores e materiais (pequenos volumes), com disponibilização de veículo tipo passeio, por demanda (tarefa), e cessão de motorista devidamente habilitado (sem dedicação exclusiva de mão-de-obra), para Gerência Executiva do INSS em Maringá/PR</t>
  </si>
  <si>
    <t>Disponibilização de um veículo (5 diárias/mês)</t>
  </si>
  <si>
    <t>Disponibilização de um motorista (5 diárias/mês)</t>
  </si>
  <si>
    <t>Valor do km rodado (no máximo, 500 km/dia x 5 diárias/mês)</t>
  </si>
  <si>
    <t>Valor total do Lote 02 (Itens 12 e 13)</t>
  </si>
  <si>
    <t>ITEM 14 – GEXMRG (PASSEIO/CONTÍNUO)</t>
  </si>
  <si>
    <t>Serviço de transporte de servidores e materiais (pequenos volumes), com disponibilização de veículo tipo passeio, de forma contínua, para Gerência Executiva do INSS em Maringá/PR</t>
  </si>
  <si>
    <t>VALOR ESTIMADO MENSAL (3 veículos):</t>
  </si>
  <si>
    <t>TOTAL (3 VEÍCULOS):</t>
  </si>
  <si>
    <t>ITEM 15 – GEXMRG (FURGÃO/MOTORISTA/POR DEMANDA)</t>
  </si>
  <si>
    <t>Serviço de transporte de servidores e materiais, com disponibilização de veículo tipo utilitário/furgão, por demanda (tarefa), e cessão de motorista devidamente habilitado para Gerência Executiva do INSS em Maringá/PR.</t>
  </si>
  <si>
    <t>ITEM 16 – GEXPGR (PASSEIO/MOTORISTA/CONTÍNUO)</t>
  </si>
  <si>
    <t>Serviço de transporte de servidores e materiais (pequenos volumes), com disponibilização de veículo tipo passeio, de forma contínua e cessão de motorista devidamente habilitado (com dedicação exclusiva de mão-de-obra), para Gerência Executiva do INSS em Ponta Grossa/PR</t>
  </si>
  <si>
    <t>VALOR ESTIMADO MENSAL (Unidade de fornecimento:</t>
  </si>
  <si>
    <t>TOTAL (2 VEÍCULOS):</t>
  </si>
  <si>
    <t>ITEM 17 – GEXPGR (FURGÃO/MOTORISTA/POR DEMANDA)</t>
  </si>
  <si>
    <t>Serviço de transporte de servidores e materiais, com disponibilização de veículo tipo utilitário/furgão por demanda (tarefa), e cessão de motorista devidamente habilitado para Gerência Executiva do INSS em Ponta Grossa/PR</t>
  </si>
  <si>
    <t>Disponibilização de um veículo (20 diárias/mês)</t>
  </si>
  <si>
    <t>Disponibilização de um motorista (20 diárias/mês)</t>
  </si>
  <si>
    <t>Valor do km rodado (no máximo, 500 km/dia x 20 diárias/mês)</t>
  </si>
  <si>
    <t>Planilha Estimativa de Custos</t>
  </si>
  <si>
    <t>PLANILHA DE INFORMAÇÕES E QUANTIDADES</t>
  </si>
  <si>
    <t>Postos</t>
  </si>
  <si>
    <t>Veículos</t>
  </si>
  <si>
    <t>Valores Variáveis</t>
  </si>
  <si>
    <t>Unidade</t>
  </si>
  <si>
    <t>Endereço</t>
  </si>
  <si>
    <t>Motorista Sedan</t>
  </si>
  <si>
    <t>Motorista Pick-Up</t>
  </si>
  <si>
    <t>Qtde Sedan com Motorista</t>
  </si>
  <si>
    <t>Qtde Sedan sem Motorista</t>
  </si>
  <si>
    <t>Qtde Pick - Up com Motorista</t>
  </si>
  <si>
    <t>Limite km/mês (por veículo)</t>
  </si>
  <si>
    <t>Diária FURGÃO (por demanda – até 2 /mês)</t>
  </si>
  <si>
    <t>Limite km/mês (por veículo furgão)</t>
  </si>
  <si>
    <t>Ajuda de Custo Motorista e Carregador</t>
  </si>
  <si>
    <t>Hora Extra Sedan/Pick-Up (por demanda –mês)</t>
  </si>
  <si>
    <t>Hora Extra FURGÃO (motorista)</t>
  </si>
  <si>
    <t>Hora Extra FURGÃO (carregador)</t>
  </si>
  <si>
    <t>Pedágio (mês)</t>
  </si>
  <si>
    <t>SUPERINTENDÊNCIA REGIONAL FLORIANÓPOLIS</t>
  </si>
  <si>
    <t>Praça Pereira Oliveira, 13, Centro</t>
  </si>
  <si>
    <t>GERÊNCIA EXECUTIVA FLORIANÓPOLIS</t>
  </si>
  <si>
    <t>Rua Felipe Schmidt, 331, Centro</t>
  </si>
  <si>
    <t>GERÊNCIA EXECUTIVA CHAPECÓ</t>
  </si>
  <si>
    <t>Rua Índio Condá, 600, Santa Maria</t>
  </si>
  <si>
    <t>GERÊNCIA EXECUTIVA CRICIÚMA</t>
  </si>
  <si>
    <t>Rua São José, 170, Centro</t>
  </si>
  <si>
    <t>GERÊNCIA EXECUTIVA JOINVILLE</t>
  </si>
  <si>
    <t>Rua Nove de Março, 241, Centro</t>
  </si>
  <si>
    <t>GERÊNCIA EXECUTIVA BLUMENAU</t>
  </si>
  <si>
    <t>Rua Floriano Peixoto, 126 - Centro</t>
  </si>
  <si>
    <t>TOTAIS</t>
  </si>
  <si>
    <t>SC - SANTA CATARINA</t>
  </si>
  <si>
    <t>MMotoristaotorista</t>
  </si>
  <si>
    <t>Motoristas</t>
  </si>
  <si>
    <t>o</t>
  </si>
  <si>
    <t>Motorista</t>
  </si>
  <si>
    <t>Ajudante</t>
  </si>
  <si>
    <t>QTD / MÊS</t>
  </si>
  <si>
    <t>Sedan/Pick-Up</t>
  </si>
  <si>
    <t>QTD / Diaria</t>
  </si>
  <si>
    <t>Furgão</t>
  </si>
  <si>
    <t>Ajuda de Custo</t>
  </si>
  <si>
    <t>Hora Extra</t>
  </si>
  <si>
    <t>Pedágio</t>
  </si>
  <si>
    <t>ANEXO IV</t>
  </si>
  <si>
    <t xml:space="preserve">PLANILHA DE CUSTOS E FORMAÇÃO DE PREÇOS </t>
  </si>
  <si>
    <t>Processo nº 35014.425469/2024-69</t>
  </si>
  <si>
    <t>Identificação do Serviço</t>
  </si>
  <si>
    <t>Serviço de Locação de Veículos</t>
  </si>
  <si>
    <t>Salário Normativo da Categoria:</t>
  </si>
  <si>
    <t>Data base da Categoria:</t>
  </si>
  <si>
    <t>Convenção Coletiva:</t>
  </si>
  <si>
    <t>SC000877/2024</t>
  </si>
  <si>
    <t>CBO/MTE:</t>
  </si>
  <si>
    <t xml:space="preserve">7832-15 </t>
  </si>
  <si>
    <t>7823-05</t>
  </si>
  <si>
    <t>SANTA CATARIANA</t>
  </si>
  <si>
    <t>CUSTOS</t>
  </si>
  <si>
    <t>Percentuais e Valores de Referência</t>
  </si>
  <si>
    <t>CARREGADOR 44h</t>
  </si>
  <si>
    <t xml:space="preserve">MOTORISTA 44h </t>
  </si>
  <si>
    <t>MÓDULO 1: COMPOSIÇÃO DA REMUNERAÇÃO</t>
  </si>
  <si>
    <t>1 - Composição da Remuneração</t>
  </si>
  <si>
    <t>Percentuais</t>
  </si>
  <si>
    <t>Valor (R$)</t>
  </si>
  <si>
    <t>A – Salário Base - CCT Cláusula 3ª - letras "b " e "c"</t>
  </si>
  <si>
    <t>B - Adicional de Periculosidade</t>
  </si>
  <si>
    <t>C - Adicional Noturno</t>
  </si>
  <si>
    <t>D - Adicional de Hora Noturna Reduzida</t>
  </si>
  <si>
    <t>E - Intervalo de intrajornada</t>
  </si>
  <si>
    <t>F - Reflexo DSR</t>
  </si>
  <si>
    <t>G - Outros</t>
  </si>
  <si>
    <t>Total</t>
  </si>
  <si>
    <t>MÓDULO 2: ENCARGOS E BENEFÍCIOS ANUAIS, MENSAIS E DIÁRIOS</t>
  </si>
  <si>
    <t>2.1 - 13º Salário, Férias e Adicional de Férias</t>
  </si>
  <si>
    <t>A - 13º salário</t>
  </si>
  <si>
    <t>B - Adicional de Férias</t>
  </si>
  <si>
    <t>2.2 - Encargos Previdenciários e FGTS</t>
  </si>
  <si>
    <t>2.2.1 - GPS</t>
  </si>
  <si>
    <t>A - INSS</t>
  </si>
  <si>
    <t>B - Salário Educação</t>
  </si>
  <si>
    <t>C - SAT</t>
  </si>
  <si>
    <t>D - SESI ou SESC</t>
  </si>
  <si>
    <t>E - SENAI ou SENAC</t>
  </si>
  <si>
    <t>F - SEBRAE</t>
  </si>
  <si>
    <t>G - INCRA</t>
  </si>
  <si>
    <t>F - FGTS</t>
  </si>
  <si>
    <t>2.3 - Benefícios Mensais e Diários</t>
  </si>
  <si>
    <t>Valores</t>
  </si>
  <si>
    <t>A - Transporte</t>
  </si>
  <si>
    <t>B - Auxílio-Refeição/Alimentação  (CCT Cláusula 19ª - § 1º)</t>
  </si>
  <si>
    <t xml:space="preserve">C - Assistência ao Trabalhador </t>
  </si>
  <si>
    <t>D - Seguro de Vida</t>
  </si>
  <si>
    <t>E - Prêmio Assiduidade</t>
  </si>
  <si>
    <t>F - Outros (especificar)</t>
  </si>
  <si>
    <t>2 - ENCARGOS E BENEFÍCIOS ANUAIS, MENSAIS E DIÁRIOS</t>
  </si>
  <si>
    <t>2.2 - GPS, FGTS e outras contribuições</t>
  </si>
  <si>
    <t>MÓDULO 3: PROVISÃO PARA RESCISÃO</t>
  </si>
  <si>
    <t>3 - Provisão para Rescisão</t>
  </si>
  <si>
    <t>A - Aviso Prévio Indenizado</t>
  </si>
  <si>
    <t>B - Incidência do FGTS sobre Aviso Prévio Indenizado</t>
  </si>
  <si>
    <t>C - Multa do FGTS sobre Aviso Prévio Indenizado</t>
  </si>
  <si>
    <t>D - Aviso Prévio Trabalhado (Ver nota – abaixo*)</t>
  </si>
  <si>
    <t>E - Incidência do submódulo 2.2 sobre o Aviso Prévio Trabalhado</t>
  </si>
  <si>
    <t>F- Multa do FGTS sobre Aviso Prévio Trabalhado</t>
  </si>
  <si>
    <t>MÓDULO 4: CUSTO DE REPOSIÇÃO DO PROFISSIONAL AUSENTE</t>
  </si>
  <si>
    <t>4.1 - Substituto nas Ausências Legais</t>
  </si>
  <si>
    <t>A - Substituto na cobertura de Férias</t>
  </si>
  <si>
    <t>B – Substituto na cobertura de Ausências Legais</t>
  </si>
  <si>
    <t>C - Substituto na cobertura de Licença Paternidade</t>
  </si>
  <si>
    <t>D - Substituto na cobertura de Ausências por acidente de trabalho</t>
  </si>
  <si>
    <t>E -Substituto na cobertura de Afastamento Maternidade</t>
  </si>
  <si>
    <t>F- Outros</t>
  </si>
  <si>
    <t>Subtotal</t>
  </si>
  <si>
    <t>4.2 - Substituto na Intrajornada</t>
  </si>
  <si>
    <t>A - Substituto na cobertura de Intervalo para repouso ou alimentação</t>
  </si>
  <si>
    <t>4 - Custo de Reposição do Profissional Ausente</t>
  </si>
  <si>
    <t>MÓDULO 5: INSUMOS DE MÃO DE OBRA</t>
  </si>
  <si>
    <t>5 - Insumos Diversos</t>
  </si>
  <si>
    <t>A - Uniformes</t>
  </si>
  <si>
    <t>B - Materiais e utensílios</t>
  </si>
  <si>
    <t>C - Equipamentos</t>
  </si>
  <si>
    <t>D - EPIs</t>
  </si>
  <si>
    <t>E - Outros</t>
  </si>
  <si>
    <t>MÓDULO 6: CUSTOS INDIRETOS, TRIBUTOS E LUCRO</t>
  </si>
  <si>
    <t>6 - Custos Indiretos, Tributos e Lucro</t>
  </si>
  <si>
    <t>A - Custos Indiretos</t>
  </si>
  <si>
    <t>B - Lucro</t>
  </si>
  <si>
    <t>C - Tributos  (ISS 2,00%)</t>
  </si>
  <si>
    <t>C.1 - Tributos Federais (PIS e COFINS)</t>
  </si>
  <si>
    <t>C.3 - Tributos Municipais (especificar)</t>
  </si>
  <si>
    <t>C - Tributos  (ISS 3,00%)</t>
  </si>
  <si>
    <t>C - Tributos  (ISS 5,00%)</t>
  </si>
  <si>
    <t>Total Tributos por ISS Municipal</t>
  </si>
  <si>
    <t>C.4 - Outros Tributos (especificar)</t>
  </si>
  <si>
    <t>QUADRO RESUMO DO CUSTO POR EMPREGADO</t>
  </si>
  <si>
    <t>AJUDANTE DO FURGÃO</t>
  </si>
  <si>
    <t xml:space="preserve">Mão de obra vinculada à execução contratual </t>
  </si>
  <si>
    <t>A - Módulo 1 - Composição da Remuneração</t>
  </si>
  <si>
    <t>B - Módulo 2 - Encargos e Benefícios Anuais, Mensais e Diários</t>
  </si>
  <si>
    <t>C - Módulo 3 - Provisão para Rescisão</t>
  </si>
  <si>
    <t>D - Módulo 4 - Custos de Reposição do Profissional Ausente</t>
  </si>
  <si>
    <t>E - Módulo 5 - Insumos Diversos</t>
  </si>
  <si>
    <t>Subtotal (A + B + C + D + E)</t>
  </si>
  <si>
    <t xml:space="preserve">F - Módulo 6 - Custos Indiretos, Tributos e Lucro </t>
  </si>
  <si>
    <t xml:space="preserve">TOTAL POR POSTO/MÊS </t>
  </si>
  <si>
    <t>VALOR TOTAL POR EMPREGADO / HORA
(R$ mês/220)</t>
  </si>
  <si>
    <t xml:space="preserve">*Nota com relação ao Aviso Prévio Trabalhado:  de acordo com o entendimento do TCU no Acórdão nº 1.186/2017 - Plenário, a Administração "deve estabelecer na minuta do contrato que 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12.506/2011" (Enunciado do Boletim de Jurisprudência nº 176/2017). </t>
  </si>
  <si>
    <t>MEMÓRIA DE CÁLCULO DOS VEÍCULOS</t>
  </si>
  <si>
    <t>VEÍCULO PASSEIO COM MOTORISTA</t>
  </si>
  <si>
    <t>MARCA</t>
  </si>
  <si>
    <t>FIAT</t>
  </si>
  <si>
    <t>GM</t>
  </si>
  <si>
    <t>HYUNDAI</t>
  </si>
  <si>
    <t>MEDIANAS</t>
  </si>
  <si>
    <t>MODELO</t>
  </si>
  <si>
    <t>CRONOS</t>
  </si>
  <si>
    <t>ONIX PLUS</t>
  </si>
  <si>
    <t>HB20S</t>
  </si>
  <si>
    <t>GERAL</t>
  </si>
  <si>
    <t>Motor</t>
  </si>
  <si>
    <t>1.0</t>
  </si>
  <si>
    <t>Potência Máxima (A/G)</t>
  </si>
  <si>
    <t>75/71 cv</t>
  </si>
  <si>
    <t>82/78 cv</t>
  </si>
  <si>
    <t>80/75 cv</t>
  </si>
  <si>
    <t>Consumo Cidade (km/l – gasolina)</t>
  </si>
  <si>
    <t>* 60% estrada, 40% cidade</t>
  </si>
  <si>
    <t>MÉDIA</t>
  </si>
  <si>
    <t>Consumo Estrada (km/l – gasolina)</t>
  </si>
  <si>
    <t>** Desconto de 10% para ajuste de condições diversas de tráfego</t>
  </si>
  <si>
    <t>Tipo Pneus ( Pesquisa compras) Duração média 40 mil km</t>
  </si>
  <si>
    <t>185/60 R15</t>
  </si>
  <si>
    <t>185/65 R15</t>
  </si>
  <si>
    <t>Valor Pneus (Extraído do Painel de Preços - Usado o valor da Mediana)</t>
  </si>
  <si>
    <t>Mediana dos valores do Painel de Preços</t>
  </si>
  <si>
    <t>Porta Malas</t>
  </si>
  <si>
    <t>525 litros</t>
  </si>
  <si>
    <t>469 litros</t>
  </si>
  <si>
    <t>475 litros</t>
  </si>
  <si>
    <t>Procedência</t>
  </si>
  <si>
    <t>Nacional</t>
  </si>
  <si>
    <t>Classificação PBE (Absoluta)</t>
  </si>
  <si>
    <t>B</t>
  </si>
  <si>
    <t>Classificação PBE (Relativa na Categoria)</t>
  </si>
  <si>
    <t>A</t>
  </si>
  <si>
    <t>VALOR MEDIANO DO VEÍCULO (Pesquisa tabela FIPE)</t>
  </si>
  <si>
    <t>Depreciação/Amortização (20% ao ano)</t>
  </si>
  <si>
    <t>Licenciamento SC (R$ 149,37)</t>
  </si>
  <si>
    <t>Seguro Obrigatório (DPVAT = R$ 0,00)</t>
  </si>
  <si>
    <t>CNSP nº 399/2020</t>
  </si>
  <si>
    <t>IPVA SC (1%)</t>
  </si>
  <si>
    <t>Seguros (4% / ano)</t>
  </si>
  <si>
    <t>Manutenção (Revisão, mão de obra e peças) (2% – R$/1.000 km)</t>
  </si>
  <si>
    <t>Revisão</t>
  </si>
  <si>
    <t>10.000 km</t>
  </si>
  <si>
    <t>Lavagem ( pesquisa Compras.gov.br)</t>
  </si>
  <si>
    <t xml:space="preserve">Óleo do motor </t>
  </si>
  <si>
    <t>0W-20</t>
  </si>
  <si>
    <t>5W-30</t>
  </si>
  <si>
    <t>VEÍCULO PASSEIO SEM MOTORISTA</t>
  </si>
  <si>
    <t>HONDA</t>
  </si>
  <si>
    <t>VOLKSWAGEN</t>
  </si>
  <si>
    <t>CITY TOURING AT</t>
  </si>
  <si>
    <t>VIRTUS EXCLUSIVE 250 TSi AT</t>
  </si>
  <si>
    <t>126 CV</t>
  </si>
  <si>
    <t>150 CV</t>
  </si>
  <si>
    <t>Tipo Pneus (Pesquisa compras) Duração média 40 mil km</t>
  </si>
  <si>
    <t>185/55 R16</t>
  </si>
  <si>
    <t>205/45 R18</t>
  </si>
  <si>
    <t>519 L</t>
  </si>
  <si>
    <t>521 L</t>
  </si>
  <si>
    <t>C</t>
  </si>
  <si>
    <t>VEÍCULO PICK-UP</t>
  </si>
  <si>
    <t>MITSUBISHI</t>
  </si>
  <si>
    <t>NISSAN</t>
  </si>
  <si>
    <t>Chevrolet</t>
  </si>
  <si>
    <t>MEDIANA</t>
  </si>
  <si>
    <t xml:space="preserve">TRITON L200 </t>
  </si>
  <si>
    <t>FRONTIER</t>
  </si>
  <si>
    <t>S10</t>
  </si>
  <si>
    <t>2.4</t>
  </si>
  <si>
    <t>2.3</t>
  </si>
  <si>
    <t>2.8</t>
  </si>
  <si>
    <t>190 cv</t>
  </si>
  <si>
    <t>207cv</t>
  </si>
  <si>
    <t>Consumo Cidade (km/l – Diesel)</t>
  </si>
  <si>
    <t>Consumo Estrada (km/l – Diesel)</t>
  </si>
  <si>
    <t>11.1</t>
  </si>
  <si>
    <t>265/70 R16</t>
  </si>
  <si>
    <t>255/65 R17</t>
  </si>
  <si>
    <t>245/70 R16</t>
  </si>
  <si>
    <t>Caçamba ( carga útil kg)</t>
  </si>
  <si>
    <t>1050 kg</t>
  </si>
  <si>
    <t>1029 kg</t>
  </si>
  <si>
    <t>1122kg</t>
  </si>
  <si>
    <t>D</t>
  </si>
  <si>
    <t>Manutenção (Revisão, mão de obra e peças) (2% p/revisão – R$/1.000 km)</t>
  </si>
  <si>
    <t xml:space="preserve">VEÍCULO DE CARGA (FURGÃO) </t>
  </si>
  <si>
    <t>FORD</t>
  </si>
  <si>
    <t>RENAULT</t>
  </si>
  <si>
    <t>DUCATO</t>
  </si>
  <si>
    <t>TRANSIT</t>
  </si>
  <si>
    <t>MASTER L1H1</t>
  </si>
  <si>
    <t>2.2</t>
  </si>
  <si>
    <t>2.0</t>
  </si>
  <si>
    <t>Potência</t>
  </si>
  <si>
    <t>140 cv</t>
  </si>
  <si>
    <t>165 cv</t>
  </si>
  <si>
    <t>136 cv</t>
  </si>
  <si>
    <t>Consumo Cidade (km/l – diesel)</t>
  </si>
  <si>
    <t>Consumo Estrada (km/l – diesel)</t>
  </si>
  <si>
    <t>225/75 R16</t>
  </si>
  <si>
    <t>235/65 R16</t>
  </si>
  <si>
    <t>225/65 R16</t>
  </si>
  <si>
    <t>Carga</t>
  </si>
  <si>
    <t>11.500 litros</t>
  </si>
  <si>
    <t>10.700 litros</t>
  </si>
  <si>
    <t>8.000 litros</t>
  </si>
  <si>
    <t>Importado</t>
  </si>
  <si>
    <t>E</t>
  </si>
  <si>
    <t>VALOR MÉDIO DO VEÍCULO</t>
  </si>
  <si>
    <t>Depreciação/Amortização (25% ao ano)</t>
  </si>
  <si>
    <t>Manutenção (Revisão, mão de obra e peças) (1% p/revisão – R$/1.000 km)</t>
  </si>
  <si>
    <t>15.000 km</t>
  </si>
  <si>
    <t>20.000 km</t>
  </si>
  <si>
    <t xml:space="preserve">CUSTO FIXO DA DIÁRIA DO FURGÃO ( DISPONIBILIZAÇÃO DO VÉICULO + MOTORISTA + CARREGADOR) - PESQUISA DO PAINEL DE PREÇOS </t>
  </si>
  <si>
    <t xml:space="preserve">ATUALIZAÇÃO PELO IPCA </t>
  </si>
  <si>
    <t>Identificação da compra - Órgão/UASG</t>
  </si>
  <si>
    <t>PREGÃO</t>
  </si>
  <si>
    <t>Data da compra</t>
  </si>
  <si>
    <t>VALOR DA DIÁRIA</t>
  </si>
  <si>
    <t>510181 -Instituto Nacional do Seguro Social - SUPERINTENDENCIA SUL</t>
  </si>
  <si>
    <t>00004/2023</t>
  </si>
  <si>
    <t>925170 - SERVIÇO NACIONAL DE APRENDIZAGEM INDUSTRIAL - SENAI</t>
  </si>
  <si>
    <t>00054/2022 -  item 13</t>
  </si>
  <si>
    <t>250033 - Gerência Estadual do Ministério da Saúde no RS</t>
  </si>
  <si>
    <t>00001/2023</t>
  </si>
  <si>
    <t>Diária CARREGADOR - Mediana  pesquisa nº 05/2025 - Compras</t>
  </si>
  <si>
    <t>-</t>
  </si>
  <si>
    <t xml:space="preserve">CUSTO FIXO DA DIÁRIA DO FURGÃO </t>
  </si>
  <si>
    <t>Serviço Continuado de Locação de Veículo com  e sem Motorista</t>
  </si>
  <si>
    <t>COMPOSIÇÃO DOS CUSTOS FIXOS PARA DISPONIBILIZAÇÃO DE VEÍCULO</t>
  </si>
  <si>
    <t xml:space="preserve">   MÓDULO 1: COMPOSIÇÃO DOS CUSTOS FIXOS PARA DISPONIBILIZAÇÃO DE VEÍCULO</t>
  </si>
  <si>
    <t>CUSTOS FIXOS PARA DISPONIBILIZAÇÃO DE VEÍCULO – VALOR MENSAL</t>
  </si>
  <si>
    <t>COM MOTORISTA</t>
  </si>
  <si>
    <t>SEM MOTORISTA</t>
  </si>
  <si>
    <t>DEMANDA</t>
  </si>
  <si>
    <t xml:space="preserve">    Item</t>
  </si>
  <si>
    <t>Valores/Percentuais</t>
  </si>
  <si>
    <t xml:space="preserve">    A - Disponibilização do Veículo – Depreciação anual</t>
  </si>
  <si>
    <t>20%(S) / 20%(M) / 25%(F)</t>
  </si>
  <si>
    <t xml:space="preserve">    B - Licenciamento Anual</t>
  </si>
  <si>
    <t xml:space="preserve">    C - Seguro Obrigatório</t>
  </si>
  <si>
    <t xml:space="preserve">    D - IPVA</t>
  </si>
  <si>
    <t xml:space="preserve">    E - Seguro do Veículo</t>
  </si>
  <si>
    <t xml:space="preserve">    F - Lavagem (2x por mês)</t>
  </si>
  <si>
    <t xml:space="preserve">    G - Outros (especificar)</t>
  </si>
  <si>
    <t>Subtotal Custos Fixos</t>
  </si>
  <si>
    <t xml:space="preserve">   MÓDULO 2: CUSTOS INDIRETOS, TRIBUTOS E LUCRO</t>
  </si>
  <si>
    <t>Custos Indiretos, Tributos e Lucro</t>
  </si>
  <si>
    <t xml:space="preserve">    A - Custos Indiretos</t>
  </si>
  <si>
    <t xml:space="preserve">    B – Lucro</t>
  </si>
  <si>
    <t xml:space="preserve">    C – Tributos (ISS 2%)</t>
  </si>
  <si>
    <t xml:space="preserve">    C.1 - Tributos Federais (PIS, COFINS)</t>
  </si>
  <si>
    <t xml:space="preserve">    C.2 - Tributos Estaduais/Municipais (ISSQN)</t>
  </si>
  <si>
    <t xml:space="preserve">    C – Tributos (ISS 3%)</t>
  </si>
  <si>
    <t xml:space="preserve">    C – Tributos (ISS 5%)</t>
  </si>
  <si>
    <t>Total Custos Indiretos, Tributos e Lucro, por ISS Municipal</t>
  </si>
  <si>
    <t>QUADRO RESUMO DO CUSTO FIXO POR VEÍCULO</t>
  </si>
  <si>
    <t>Custos fixos vinculados à execução contratual (valor por VEÍCULO)</t>
  </si>
  <si>
    <t>TOTAL DO PREÇO FIXO – VEÍCULO/MÊS</t>
  </si>
  <si>
    <t>ISS 2,00%</t>
  </si>
  <si>
    <t>ISS 3,00%</t>
  </si>
  <si>
    <t>ISS 5,00%</t>
  </si>
  <si>
    <r>
      <rPr>
        <sz val="11"/>
        <color rgb="FF000000"/>
        <rFont val="Arial"/>
        <family val="2"/>
        <charset val="1"/>
      </rPr>
      <t xml:space="preserve">OBS: As células com fonte em </t>
    </r>
    <r>
      <rPr>
        <sz val="10"/>
        <color rgb="FF3333FF"/>
        <rFont val="Arial"/>
        <family val="2"/>
        <charset val="1"/>
      </rPr>
      <t>AZUL</t>
    </r>
    <r>
      <rPr>
        <sz val="10"/>
        <color rgb="FF000000"/>
        <rFont val="Arial"/>
        <family val="2"/>
        <charset val="1"/>
      </rPr>
      <t xml:space="preserve"> podem/devem ser alteradas pelo licitante, de forma a construir sua proposta de preços, nas demais células, deve ser evitada a alteração para não gerar distorções e/ou falhas nas fórmulas, somente alterando em casos especiais.
Nas alterações, devem ser observadas as disposições das respectivas CCTs, tarifas em vigor, além da legislação trabalhista e tributária vigente.</t>
    </r>
  </si>
  <si>
    <t>COMPOSIÇÃO DOS CUSTOS VARIÁVEIS PARA DISPONIBILIZAÇÃO DE VEÍCULO</t>
  </si>
  <si>
    <t xml:space="preserve">   MÓDULO 1: COMPOSIÇÃO DOS CUSTOS VARIÁVEIS PARA DISPONIBILIZAÇÃO DE VEÍCULO</t>
  </si>
  <si>
    <t>CUSTOS FIXOS PARA DISPONIBILIZAÇÃO DE VEÍCULO</t>
  </si>
  <si>
    <t>Insumos Diversos (p/cada 1.000 km)</t>
  </si>
  <si>
    <t xml:space="preserve">    A - Manutenção (revisões, peças, acessórios, materiais e mão de obra)</t>
  </si>
  <si>
    <t xml:space="preserve">    B - Pneus </t>
  </si>
  <si>
    <t xml:space="preserve">    C - Combustível </t>
  </si>
  <si>
    <t xml:space="preserve">    D - Outros (especificar)</t>
  </si>
  <si>
    <t>QUADRO RESUMO DO CUSTO VARIÁVEL POR VEÍCULO</t>
  </si>
  <si>
    <t>Custos variáveis vinculados à execução contratual (mediante demanda)</t>
  </si>
  <si>
    <t xml:space="preserve">    A - Módulo 1 - Composição dos Custos Variáveis para Disponibilização de Veículo</t>
  </si>
  <si>
    <t xml:space="preserve">    B - Módulo 2 - Custos Indiretos, Tributos e Lucro (ISS 2,00%)</t>
  </si>
  <si>
    <t xml:space="preserve">    B - Módulo 2 - Custos Indiretos, Tributos e Lucro (ISS 3,00%)</t>
  </si>
  <si>
    <t xml:space="preserve">    B - Módulo 2 - Custos Indiretos, Tributos e Lucro (ISS 5,00%)</t>
  </si>
  <si>
    <t>TOTAL DO PREÇO FIXO –  VEÍCULO/1.000 KM</t>
  </si>
  <si>
    <t>TOTAL DO PREÇO FIXO –  KM RODADO</t>
  </si>
  <si>
    <r>
      <rPr>
        <sz val="10"/>
        <color rgb="FF000000"/>
        <rFont val="Calibri"/>
        <family val="2"/>
        <charset val="1"/>
      </rPr>
      <t xml:space="preserve">OBS: As células com fonte em </t>
    </r>
    <r>
      <rPr>
        <sz val="10"/>
        <color rgb="FF3333FF"/>
        <rFont val="Calibri"/>
        <family val="2"/>
        <charset val="1"/>
      </rPr>
      <t>AZUL</t>
    </r>
    <r>
      <rPr>
        <sz val="10"/>
        <color rgb="FF000000"/>
        <rFont val="Calibri"/>
        <family val="2"/>
        <charset val="1"/>
      </rPr>
      <t xml:space="preserve"> podem/devem ser alteradas pelo licitante, de forma a construir sua proposta de preços, nas demais células, deve ser evitada a alteração para não gerar distorções e/ou falhas nas fórmulas, somente alterando em casos especiais.
Nas alterações, devem ser observadas as disposições das respectivas CCTs, tarifas em vigor, além da legislação trabalhista e tributária vigente.
* O valor do combustível não será alvo de disputa e não poderá ser inferior ao estimado pela Administração. O combustível será pago conforme item 10.1.7 do Edital.</t>
    </r>
  </si>
  <si>
    <t>COMPOSIÇÃO DOS CUSTOS DA AJUDA DE CUSTO</t>
  </si>
  <si>
    <t>VALORES CCTs</t>
  </si>
  <si>
    <t>Ajuda de Custo - Cláusula 18ª da CCT =</t>
  </si>
  <si>
    <t>QUADRO RESUMO DO CUSTO VARIÁVEL POR EMPREGADO</t>
  </si>
  <si>
    <t>Mão-de-obra vinculada à execução contratual (valor por empregado)</t>
  </si>
  <si>
    <t>Ajuda de custo</t>
  </si>
  <si>
    <t>SC</t>
  </si>
  <si>
    <t>VALOR / DIA</t>
  </si>
  <si>
    <t>* Embora não haja previsão na CCT do Estado de SC, o art. 235, “c” da CLT, define que o empregado afastado da base da empresa ou sua residência por mais de 24 horas, tem direito a repouso diário em alojamento do empregador ou em outro local que ofereça condições adequadas, entendendo-se necessária a previsão do pernoite com base na média dos estados do PR e RS (por falta de valor definido pela CCT, foi adotado este valor médio, como estimativa)</t>
  </si>
  <si>
    <t>** Como não há previsão de indenização de gastos com alimentação por motivo de viagem a serviço no estado do SC, e considerando que o trabalhador já recebe o devido auxílio alimentação, este valor não foi estimado para o posto de motorista no estado do SC.</t>
  </si>
  <si>
    <r>
      <rPr>
        <sz val="10"/>
        <color rgb="FF000000"/>
        <rFont val="Calibri"/>
        <family val="2"/>
        <charset val="1"/>
      </rPr>
      <t xml:space="preserve">OBS: As células com fonte em </t>
    </r>
    <r>
      <rPr>
        <sz val="10"/>
        <color rgb="FF3333FF"/>
        <rFont val="Calibri"/>
        <family val="2"/>
        <charset val="1"/>
      </rPr>
      <t>AZUL</t>
    </r>
    <r>
      <rPr>
        <sz val="10"/>
        <color rgb="FF000000"/>
        <rFont val="Calibri"/>
        <family val="2"/>
        <charset val="1"/>
      </rPr>
      <t xml:space="preserve"> podem/devem ser alteradas pelo licitante, de forma a construir sua proposta de preços, nas demais células, deve ser evitada a alteração para não gerar distorções e/ou falhas nas fórmulas, somente alterando em casos especiais.
Nas alterações, devem ser observadas as disposições das respectivas CCTs, tarifas em vigor, além da legislação trabalhista e tributária vigente.</t>
    </r>
  </si>
  <si>
    <t>PESQUISA DE PREÇOS DE VALE TRANSPORTE</t>
  </si>
  <si>
    <t>VT</t>
  </si>
  <si>
    <t>QTD PESSOAL</t>
  </si>
  <si>
    <t>MÉDIA PONDERADA</t>
  </si>
  <si>
    <t>PESQUISA DE PREÇOS DE UNIFORME</t>
  </si>
  <si>
    <t>UNIFORME E EQUIPAMENTOS DE USO PESSOAL – MOTORISTA - SC</t>
  </si>
  <si>
    <t>Descrição</t>
  </si>
  <si>
    <t>Custo médio Unitário</t>
  </si>
  <si>
    <t>Quantidade
Fornecida por ano</t>
  </si>
  <si>
    <t>Custo Anual por profissional</t>
  </si>
  <si>
    <t>Custo Mensal por profissional</t>
  </si>
  <si>
    <t>Camisa social</t>
  </si>
  <si>
    <t>Calça social</t>
  </si>
  <si>
    <t>Sapato</t>
  </si>
  <si>
    <t>Crachá</t>
  </si>
  <si>
    <t>CUSTO MENSAL POR EMPREGADO – MOTORISTA</t>
  </si>
  <si>
    <t>PESQUISA DE PREÇOS – Plano de Celular – MOTORISTA - SC</t>
  </si>
  <si>
    <t>Valor</t>
  </si>
  <si>
    <t>Operadora</t>
  </si>
  <si>
    <t>Tim</t>
  </si>
  <si>
    <t>Vivo</t>
  </si>
  <si>
    <t>Claro</t>
  </si>
  <si>
    <t>PESQUISA DE PREÇOS – COMBUSTÍVEIS</t>
  </si>
  <si>
    <t>VALOR MÉDIO (Ref. período de 02 A 08/02/2025)</t>
  </si>
  <si>
    <t>DIESEL</t>
  </si>
  <si>
    <t>GASOLINA</t>
  </si>
  <si>
    <t>Média estadual</t>
  </si>
  <si>
    <t>6,53</t>
  </si>
  <si>
    <t>COMPOSIÇÃO DOS CUSTOS DE PEDÁGIO</t>
  </si>
  <si>
    <t xml:space="preserve">   MÓDULO 1: COMPOSIÇÃO DOS CUSTOS DE PEDÁGIO</t>
  </si>
  <si>
    <t xml:space="preserve">    Valor Médio Unitário</t>
  </si>
  <si>
    <r>
      <rPr>
        <sz val="10"/>
        <color rgb="FF000000"/>
        <rFont val="Calibri"/>
      </rPr>
      <t xml:space="preserve">* O valor do </t>
    </r>
    <r>
      <rPr>
        <sz val="10"/>
        <color rgb="FFCC0000"/>
        <rFont val="Calibri"/>
      </rPr>
      <t>COMBUSTÍVEL e PEDÁGIOS NÃO SERÃO ALVOS DE DISPUTA</t>
    </r>
    <r>
      <rPr>
        <sz val="10"/>
        <color rgb="FF000000"/>
        <rFont val="Calibri"/>
      </rPr>
      <t xml:space="preserve"> e não poderá ser inferior ao estimado pela Administração. O combustível será pago conforme especificado no Termo de Referência.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</si>
</sst>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4" formatCode="_-&quot;R$&quot;\ * #,##0.00_-;\-&quot;R$&quot;\ * #,##0.00_-;_-&quot;R$&quot;\ * &quot;-&quot;??_-;_-@_-"/>
    <numFmt numFmtId="164" formatCode="_(* #,##0.00_);_(* \(#,##0.00\);_(* &quot;-&quot;??_);_(@_)"/>
    <numFmt numFmtId="165" formatCode="#,##0.00\ ;#,##0.00\ ;\-#\ ;\ @\ "/>
    <numFmt numFmtId="166" formatCode="* #,##0.00\ ;* \(#,##0.00\);* \-#\ ;@\ "/>
    <numFmt numFmtId="167" formatCode="[$R$-416]\ #,##0.00;[Red]\-[$R$-416]\ #,##0.00"/>
    <numFmt numFmtId="168" formatCode="[$R$-416]\ #,##0.0000;[Red]\-[$R$-416]\ #,##0.0000"/>
    <numFmt numFmtId="170" formatCode="#,##0.00\ ;\(#,##0.00\);\-#\ ;@\ "/>
    <numFmt numFmtId="171" formatCode="&quot;R$ &quot;#,##0.00"/>
    <numFmt numFmtId="172" formatCode="&quot;R$ &quot;#,##0.00\ ;[Red]&quot;(R$ &quot;#,##0.00\)"/>
    <numFmt numFmtId="173" formatCode="#,##0.00\ ;&quot; (&quot;#,##0.00\);\-#\ ;@\ "/>
    <numFmt numFmtId="174" formatCode="0.0"/>
    <numFmt numFmtId="175" formatCode="d/m/yyyy"/>
    <numFmt numFmtId="176" formatCode="* #,##0.00\ ;\-* #,##0.00\ ;* \-#\ ;@\ "/>
    <numFmt numFmtId="177" formatCode="&quot;R$ &quot;#,##0.00;[Red]&quot;-R$ &quot;#,##0.00"/>
    <numFmt numFmtId="178" formatCode="[$R$-416]\ #,##0.00"/>
  </numFmts>
  <fonts count="66">
    <font>
      <sz val="11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CC0000"/>
      <name val="Arial"/>
      <family val="2"/>
      <charset val="1"/>
    </font>
    <font>
      <b/>
      <sz val="10"/>
      <color rgb="FFFFFFFF"/>
      <name val="Arial"/>
      <family val="2"/>
      <charset val="1"/>
    </font>
    <font>
      <i/>
      <sz val="10"/>
      <color rgb="FF808080"/>
      <name val="Arial"/>
      <family val="2"/>
      <charset val="1"/>
    </font>
    <font>
      <sz val="10"/>
      <color rgb="FF006600"/>
      <name val="Arial"/>
      <family val="2"/>
      <charset val="1"/>
    </font>
    <font>
      <b/>
      <sz val="24"/>
      <color rgb="FF000000"/>
      <name val="Arial"/>
      <family val="2"/>
      <charset val="1"/>
    </font>
    <font>
      <sz val="18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u/>
      <sz val="10"/>
      <color rgb="FF0000EE"/>
      <name val="Arial"/>
      <family val="2"/>
      <charset val="1"/>
    </font>
    <font>
      <sz val="10"/>
      <color rgb="FF9966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0"/>
      <color rgb="FF333333"/>
      <name val="Arial"/>
      <family val="2"/>
      <charset val="1"/>
    </font>
    <font>
      <b/>
      <sz val="14"/>
      <color rgb="FFFFFFFF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11"/>
      <color rgb="FFFFFFFF"/>
      <name val="Calibri"/>
      <family val="2"/>
      <charset val="1"/>
    </font>
    <font>
      <sz val="7.5"/>
      <color rgb="FF000000"/>
      <name val="Calibri"/>
      <family val="2"/>
      <charset val="1"/>
    </font>
    <font>
      <b/>
      <sz val="10"/>
      <color rgb="FFFFFFFF"/>
      <name val="Calibri"/>
      <family val="2"/>
      <charset val="1"/>
    </font>
    <font>
      <sz val="11"/>
      <color rgb="FF000000"/>
      <name val="Calibri"/>
      <family val="2"/>
      <charset val="1"/>
    </font>
    <font>
      <sz val="8"/>
      <color rgb="FF000000"/>
      <name val="Calibri"/>
      <family val="2"/>
      <charset val="1"/>
    </font>
    <font>
      <sz val="11"/>
      <color rgb="FFFFFFFF"/>
      <name val="Calibri"/>
      <family val="2"/>
      <charset val="1"/>
    </font>
    <font>
      <sz val="10"/>
      <color rgb="FFC00000"/>
      <name val="Calibri"/>
      <family val="2"/>
      <charset val="1"/>
    </font>
    <font>
      <sz val="10"/>
      <color rgb="FFFFFFFF"/>
      <name val="Calibri"/>
      <family val="2"/>
      <charset val="1"/>
    </font>
    <font>
      <b/>
      <sz val="12"/>
      <color rgb="FFC00000"/>
      <name val="Calibri"/>
      <family val="2"/>
      <charset val="1"/>
    </font>
    <font>
      <sz val="12"/>
      <color rgb="FFC00000"/>
      <name val="Calibri"/>
      <family val="2"/>
      <charset val="1"/>
    </font>
    <font>
      <sz val="9"/>
      <color rgb="FF000000"/>
      <name val="Calibri"/>
      <family val="2"/>
      <charset val="1"/>
    </font>
    <font>
      <sz val="9"/>
      <color rgb="FFFFFFFF"/>
      <name val="Calibri"/>
      <family val="2"/>
      <charset val="1"/>
    </font>
    <font>
      <b/>
      <sz val="12"/>
      <color rgb="FFFFFFFF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0"/>
      <color rgb="FF000080"/>
      <name val="Calibri"/>
      <family val="2"/>
      <charset val="1"/>
    </font>
    <font>
      <b/>
      <sz val="9"/>
      <color rgb="FF000000"/>
      <name val="Calibri"/>
      <family val="2"/>
      <charset val="1"/>
    </font>
    <font>
      <sz val="10"/>
      <color rgb="FF3333FF"/>
      <name val="Arial"/>
      <family val="2"/>
      <charset val="1"/>
    </font>
    <font>
      <sz val="10"/>
      <color rgb="FF3333FF"/>
      <name val="Calibri"/>
      <family val="2"/>
      <charset val="1"/>
    </font>
    <font>
      <b/>
      <sz val="14"/>
      <color rgb="FF000000"/>
      <name val="Calibri"/>
      <family val="2"/>
      <charset val="1"/>
    </font>
    <font>
      <sz val="10"/>
      <color rgb="FF0000FF"/>
      <name val="Calibri"/>
      <family val="2"/>
      <charset val="1"/>
    </font>
    <font>
      <sz val="10"/>
      <color rgb="FFFF0000"/>
      <name val="Calibri"/>
      <family val="2"/>
      <charset val="1"/>
    </font>
    <font>
      <sz val="10"/>
      <color rgb="FFC00000"/>
      <name val="Arial"/>
      <family val="2"/>
      <charset val="1"/>
    </font>
    <font>
      <sz val="11"/>
      <color rgb="FF000000"/>
      <name val="Arial"/>
      <family val="2"/>
      <charset val="1"/>
    </font>
    <font>
      <sz val="11"/>
      <color theme="1"/>
      <name val="Arial"/>
      <family val="2"/>
    </font>
    <font>
      <b/>
      <sz val="10"/>
      <color rgb="FFFFFFFF"/>
      <name val="Calibri"/>
      <family val="2"/>
    </font>
    <font>
      <sz val="10"/>
      <color rgb="FF000000"/>
      <name val="Calibri"/>
      <family val="2"/>
    </font>
    <font>
      <sz val="10"/>
      <color rgb="FFFF0000"/>
      <name val="Calibri"/>
      <family val="2"/>
    </font>
    <font>
      <sz val="10"/>
      <color theme="1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rgb="FF0E2CED"/>
      <name val="Calibri"/>
    </font>
    <font>
      <sz val="10"/>
      <color rgb="FF000000"/>
      <name val="Calibri"/>
    </font>
    <font>
      <b/>
      <sz val="10"/>
      <color rgb="FF000000"/>
      <name val="Calibri"/>
    </font>
    <font>
      <b/>
      <sz val="10"/>
      <color rgb="FFFFFFFF"/>
      <name val="Calibri"/>
    </font>
    <font>
      <sz val="11"/>
      <color rgb="FF000000"/>
      <name val="Calibri"/>
    </font>
    <font>
      <sz val="11"/>
      <color rgb="FF333333"/>
      <name val="Arial"/>
      <family val="2"/>
      <charset val="1"/>
    </font>
    <font>
      <b/>
      <sz val="12"/>
      <color rgb="FF333333"/>
      <name val="Calibri"/>
      <family val="2"/>
      <charset val="1"/>
    </font>
    <font>
      <sz val="10"/>
      <color rgb="FF333333"/>
      <name val="Calibri"/>
      <family val="2"/>
      <charset val="1"/>
    </font>
    <font>
      <b/>
      <sz val="9"/>
      <color rgb="FF333333"/>
      <name val="Calibri"/>
      <family val="2"/>
      <charset val="1"/>
    </font>
    <font>
      <sz val="9"/>
      <color rgb="FF333333"/>
      <name val="Calibri"/>
      <family val="2"/>
      <charset val="1"/>
    </font>
    <font>
      <b/>
      <sz val="10"/>
      <color rgb="FF333333"/>
      <name val="Calibri"/>
      <family val="2"/>
      <charset val="1"/>
    </font>
    <font>
      <sz val="10"/>
      <color rgb="FF339966"/>
      <name val="Calibri"/>
      <family val="2"/>
      <charset val="1"/>
    </font>
    <font>
      <b/>
      <sz val="10"/>
      <color rgb="FFFF0000"/>
      <name val="Calibri"/>
      <family val="2"/>
      <charset val="1"/>
    </font>
    <font>
      <b/>
      <sz val="10"/>
      <color rgb="FF808080"/>
      <name val="Calibri"/>
      <family val="2"/>
      <charset val="1"/>
    </font>
    <font>
      <b/>
      <sz val="10"/>
      <color theme="0"/>
      <name val="Calibri"/>
      <family val="2"/>
    </font>
    <font>
      <b/>
      <sz val="11"/>
      <color rgb="FF242424"/>
      <name val="Aptos Narrow"/>
      <charset val="1"/>
    </font>
    <font>
      <sz val="10"/>
      <color rgb="FFCC0000"/>
      <name val="Calibri"/>
    </font>
    <font>
      <strike/>
      <sz val="10"/>
      <color rgb="FF000000"/>
      <name val="Calibri"/>
      <family val="2"/>
      <charset val="1"/>
    </font>
    <font>
      <sz val="9"/>
      <color theme="0"/>
      <name val="Calibri"/>
      <family val="2"/>
      <charset val="1"/>
    </font>
  </fonts>
  <fills count="61">
    <fill>
      <patternFill patternType="none"/>
    </fill>
    <fill>
      <patternFill patternType="gray125"/>
    </fill>
    <fill>
      <patternFill patternType="solid">
        <fgColor rgb="FF000000"/>
        <bgColor rgb="FF191919"/>
      </patternFill>
    </fill>
    <fill>
      <patternFill patternType="solid">
        <fgColor rgb="FF808080"/>
        <bgColor rgb="FF999999"/>
      </patternFill>
    </fill>
    <fill>
      <patternFill patternType="solid">
        <fgColor rgb="FFDDDDDD"/>
        <bgColor rgb="FFDAE2F3"/>
      </patternFill>
    </fill>
    <fill>
      <patternFill patternType="solid">
        <fgColor rgb="FFFFCCCC"/>
        <bgColor rgb="FFF7CDCD"/>
      </patternFill>
    </fill>
    <fill>
      <patternFill patternType="solid">
        <fgColor rgb="FFCC0000"/>
        <bgColor rgb="FFC00000"/>
      </patternFill>
    </fill>
    <fill>
      <patternFill patternType="solid">
        <fgColor rgb="FFCCFFCF"/>
        <bgColor rgb="FFCAFFA2"/>
      </patternFill>
    </fill>
    <fill>
      <patternFill patternType="solid">
        <fgColor rgb="FFFFFFCC"/>
        <bgColor rgb="FFFFF2CC"/>
      </patternFill>
    </fill>
    <fill>
      <patternFill patternType="solid">
        <fgColor rgb="FFDAE2F3"/>
        <bgColor rgb="FFCFE7F5"/>
      </patternFill>
    </fill>
    <fill>
      <patternFill patternType="solid">
        <fgColor rgb="FF3465A4"/>
        <bgColor rgb="FF34689C"/>
      </patternFill>
    </fill>
    <fill>
      <patternFill patternType="solid">
        <fgColor rgb="FFFFFFFF"/>
        <bgColor rgb="FFFFFFCC"/>
      </patternFill>
    </fill>
    <fill>
      <patternFill patternType="solid">
        <fgColor rgb="FF1E4E73"/>
        <bgColor rgb="FF336699"/>
      </patternFill>
    </fill>
    <fill>
      <patternFill patternType="solid">
        <fgColor rgb="FF9999CC"/>
        <bgColor rgb="FF8FAADC"/>
      </patternFill>
    </fill>
    <fill>
      <patternFill patternType="solid">
        <fgColor rgb="FFCCCCFF"/>
        <bgColor rgb="FFB4C6E7"/>
      </patternFill>
    </fill>
    <fill>
      <patternFill patternType="solid">
        <fgColor rgb="FFCCCCCC"/>
        <bgColor rgb="FFB4C6E7"/>
      </patternFill>
    </fill>
    <fill>
      <patternFill patternType="solid">
        <fgColor rgb="FFCAFFA2"/>
        <bgColor rgb="FFCCFFCF"/>
      </patternFill>
    </fill>
    <fill>
      <patternFill patternType="solid">
        <fgColor rgb="FFCCFFFF"/>
        <bgColor rgb="FFCCECFF"/>
      </patternFill>
    </fill>
    <fill>
      <patternFill patternType="solid">
        <fgColor rgb="FFFFCC99"/>
        <bgColor rgb="FFFFCCCC"/>
      </patternFill>
    </fill>
    <fill>
      <patternFill patternType="solid">
        <fgColor rgb="FF999966"/>
        <bgColor rgb="FF999999"/>
      </patternFill>
    </fill>
    <fill>
      <patternFill patternType="solid">
        <fgColor rgb="FF669933"/>
        <bgColor rgb="FF999966"/>
      </patternFill>
    </fill>
    <fill>
      <patternFill patternType="solid">
        <fgColor rgb="FF6C9ED8"/>
        <bgColor rgb="FF729FCF"/>
      </patternFill>
    </fill>
    <fill>
      <patternFill patternType="solid">
        <fgColor rgb="FFFFFF66"/>
        <bgColor rgb="FFFFFF99"/>
      </patternFill>
    </fill>
    <fill>
      <patternFill patternType="darkGray">
        <fgColor rgb="FFC0CF94"/>
        <bgColor rgb="FFCCCCCC"/>
      </patternFill>
    </fill>
    <fill>
      <patternFill patternType="solid">
        <fgColor rgb="FFB7AFB7"/>
        <bgColor rgb="FFB4C6E7"/>
      </patternFill>
    </fill>
    <fill>
      <patternFill patternType="solid">
        <fgColor rgb="FFDAE2F3"/>
        <bgColor rgb="FFCFE7F5"/>
      </patternFill>
    </fill>
    <fill>
      <patternFill patternType="solid">
        <fgColor rgb="FFF7CDCD"/>
        <bgColor rgb="FFFFCCCC"/>
      </patternFill>
    </fill>
    <fill>
      <patternFill patternType="solid">
        <fgColor rgb="FFE9EFE6"/>
        <bgColor rgb="FFDAE2F3"/>
      </patternFill>
    </fill>
    <fill>
      <patternFill patternType="solid">
        <fgColor rgb="FFB4C6E7"/>
        <bgColor rgb="FF9DC3E6"/>
      </patternFill>
    </fill>
    <fill>
      <patternFill patternType="solid">
        <fgColor rgb="FFF6AF99"/>
        <bgColor rgb="FFFFCC99"/>
      </patternFill>
    </fill>
    <fill>
      <patternFill patternType="solid">
        <fgColor rgb="FFC0CF94"/>
        <bgColor rgb="FFCCCCCC"/>
      </patternFill>
    </fill>
    <fill>
      <patternFill patternType="solid">
        <fgColor rgb="FFFFCC00"/>
        <bgColor rgb="FFFFFF00"/>
      </patternFill>
    </fill>
    <fill>
      <patternFill patternType="solid">
        <fgColor rgb="FF729FCF"/>
        <bgColor rgb="FF6C9ED8"/>
      </patternFill>
    </fill>
    <fill>
      <patternFill patternType="solid">
        <fgColor rgb="FFCFE7F5"/>
        <bgColor rgb="FFCCECFF"/>
      </patternFill>
    </fill>
    <fill>
      <patternFill patternType="solid">
        <fgColor rgb="FF34689C"/>
        <bgColor rgb="FF336699"/>
      </patternFill>
    </fill>
    <fill>
      <patternFill patternType="solid">
        <fgColor rgb="FF336699"/>
        <bgColor rgb="FF34689C"/>
      </patternFill>
    </fill>
    <fill>
      <patternFill patternType="solid">
        <fgColor rgb="FFE9EFE6"/>
        <bgColor rgb="FFFCE4D6"/>
      </patternFill>
    </fill>
    <fill>
      <patternFill patternType="solid">
        <fgColor rgb="FF666666"/>
        <bgColor rgb="FF808080"/>
      </patternFill>
    </fill>
    <fill>
      <patternFill patternType="solid">
        <fgColor rgb="FF999999"/>
        <bgColor rgb="FF9999CC"/>
      </patternFill>
    </fill>
    <fill>
      <patternFill patternType="solid">
        <fgColor rgb="FFE8F2A1"/>
        <bgColor rgb="FFFFE699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666666"/>
        <bgColor rgb="FF666666"/>
      </patternFill>
    </fill>
    <fill>
      <patternFill patternType="solid">
        <fgColor rgb="FF999999"/>
        <bgColor rgb="FF999999"/>
      </patternFill>
    </fill>
    <fill>
      <patternFill patternType="solid">
        <fgColor theme="0"/>
        <bgColor indexed="64"/>
      </patternFill>
    </fill>
    <fill>
      <patternFill patternType="solid">
        <fgColor rgb="FFCC99FF"/>
        <bgColor rgb="FFBFBFBF"/>
      </patternFill>
    </fill>
    <fill>
      <patternFill patternType="solid">
        <fgColor rgb="FF00CCFF"/>
        <bgColor rgb="FF00B0F0"/>
      </patternFill>
    </fill>
    <fill>
      <patternFill patternType="solid">
        <fgColor rgb="FF00FF00"/>
        <bgColor rgb="FF339966"/>
      </patternFill>
    </fill>
    <fill>
      <patternFill patternType="solid">
        <fgColor rgb="FF8EA9DB"/>
        <bgColor rgb="FF8FAADC"/>
      </patternFill>
    </fill>
    <fill>
      <patternFill patternType="solid">
        <fgColor rgb="FFD9E1F2"/>
        <bgColor rgb="FFDAE3F3"/>
      </patternFill>
    </fill>
    <fill>
      <patternFill patternType="solid">
        <fgColor rgb="FFC0C0C0"/>
        <bgColor rgb="FFBFBFBF"/>
      </patternFill>
    </fill>
    <fill>
      <patternFill patternType="solid">
        <fgColor rgb="FFDEEBF7"/>
        <bgColor rgb="FFDAE3F3"/>
      </patternFill>
    </fill>
    <fill>
      <patternFill patternType="solid">
        <fgColor rgb="FF8FAADC"/>
        <bgColor rgb="FF8EA9DB"/>
      </patternFill>
    </fill>
    <fill>
      <patternFill patternType="solid">
        <fgColor rgb="FFF76304"/>
        <bgColor rgb="FFED7D31"/>
      </patternFill>
    </fill>
    <fill>
      <patternFill patternType="solid">
        <fgColor rgb="FF92D05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76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rgb="FFFFFFFF"/>
      </bottom>
      <diagonal/>
    </border>
    <border>
      <left/>
      <right style="thin">
        <color auto="1"/>
      </right>
      <top style="thin">
        <color auto="1"/>
      </top>
      <bottom style="thin">
        <color rgb="FFFFFFFF"/>
      </bottom>
      <diagonal/>
    </border>
    <border>
      <left style="thin">
        <color auto="1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auto="1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/>
      <top style="thin">
        <color rgb="FFFFFFFF"/>
      </top>
      <bottom style="thin">
        <color auto="1"/>
      </bottom>
      <diagonal/>
    </border>
    <border>
      <left/>
      <right style="thin">
        <color auto="1"/>
      </right>
      <top style="thin">
        <color rgb="FFFFFFFF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auto="1"/>
      </right>
      <top style="medium">
        <color rgb="FF000000"/>
      </top>
      <bottom/>
      <diagonal/>
    </border>
    <border>
      <left style="medium">
        <color auto="1"/>
      </left>
      <right style="medium">
        <color auto="1"/>
      </right>
      <top style="medium">
        <color rgb="FF000000"/>
      </top>
      <bottom/>
      <diagonal/>
    </border>
    <border>
      <left style="medium">
        <color rgb="FF000000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/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auto="1"/>
      </right>
      <top style="thin">
        <color auto="1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rgb="FF000000"/>
      </bottom>
      <diagonal/>
    </border>
    <border>
      <left style="medium">
        <color rgb="FF000000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rgb="FF000000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auto="1"/>
      </left>
      <right style="medium">
        <color rgb="FF000000"/>
      </right>
      <top style="medium">
        <color rgb="FF000000"/>
      </top>
      <bottom/>
      <diagonal/>
    </border>
    <border>
      <left style="medium">
        <color auto="1"/>
      </left>
      <right style="medium">
        <color rgb="FF000000"/>
      </right>
      <top/>
      <bottom/>
      <diagonal/>
    </border>
    <border>
      <left style="medium">
        <color auto="1"/>
      </left>
      <right style="medium">
        <color rgb="FF000000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rgb="FF000000"/>
      </right>
      <top style="thin">
        <color auto="1"/>
      </top>
      <bottom style="medium">
        <color rgb="FF000000"/>
      </bottom>
      <diagonal/>
    </border>
    <border>
      <left style="medium">
        <color rgb="FF000000"/>
      </left>
      <right style="thin">
        <color auto="1"/>
      </right>
      <top/>
      <bottom/>
      <diagonal/>
    </border>
    <border>
      <left style="medium">
        <color auto="1"/>
      </left>
      <right style="medium">
        <color rgb="FF000000"/>
      </right>
      <top style="medium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/>
      <top style="medium">
        <color rgb="FF000000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rgb="FF000000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/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auto="1"/>
      </right>
      <top/>
      <bottom/>
      <diagonal/>
    </border>
    <border>
      <left style="thin">
        <color rgb="FF000000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auto="1"/>
      </left>
      <right style="medium">
        <color rgb="FF000000"/>
      </right>
      <top/>
      <bottom style="thin">
        <color auto="1"/>
      </bottom>
      <diagonal/>
    </border>
    <border>
      <left style="thin">
        <color auto="1"/>
      </left>
      <right style="medium">
        <color rgb="FF000000"/>
      </right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0000"/>
      </right>
      <top/>
      <bottom style="thin">
        <color auto="1"/>
      </bottom>
      <diagonal/>
    </border>
    <border>
      <left style="thin">
        <color auto="1"/>
      </left>
      <right style="medium">
        <color rgb="FF000000"/>
      </right>
      <top style="thin">
        <color auto="1"/>
      </top>
      <bottom/>
      <diagonal/>
    </border>
    <border>
      <left style="medium">
        <color rgb="FF000000"/>
      </left>
      <right style="thin">
        <color auto="1"/>
      </right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rgb="FF000000"/>
      </bottom>
      <diagonal/>
    </border>
    <border>
      <left style="thin">
        <color auto="1"/>
      </left>
      <right style="medium">
        <color rgb="FF000000"/>
      </right>
      <top style="thin">
        <color auto="1"/>
      </top>
      <bottom style="medium">
        <color rgb="FF000000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</borders>
  <cellStyleXfs count="34">
    <xf numFmtId="0" fontId="0" fillId="0" borderId="0"/>
    <xf numFmtId="9" fontId="12" fillId="0" borderId="0"/>
    <xf numFmtId="0" fontId="1" fillId="2" borderId="0"/>
    <xf numFmtId="0" fontId="1" fillId="3" borderId="0"/>
    <xf numFmtId="0" fontId="2" fillId="4" borderId="0"/>
    <xf numFmtId="0" fontId="2" fillId="0" borderId="0"/>
    <xf numFmtId="0" fontId="3" fillId="5" borderId="0"/>
    <xf numFmtId="0" fontId="4" fillId="6" borderId="0"/>
    <xf numFmtId="0" fontId="5" fillId="0" borderId="0"/>
    <xf numFmtId="0" fontId="6" fillId="7" borderId="0"/>
    <xf numFmtId="0" fontId="7" fillId="0" borderId="0"/>
    <xf numFmtId="0" fontId="8" fillId="0" borderId="0"/>
    <xf numFmtId="0" fontId="9" fillId="0" borderId="0"/>
    <xf numFmtId="0" fontId="10" fillId="0" borderId="0"/>
    <xf numFmtId="165" fontId="40" fillId="0" borderId="0"/>
    <xf numFmtId="0" fontId="11" fillId="8" borderId="0"/>
    <xf numFmtId="0" fontId="12" fillId="0" borderId="0"/>
    <xf numFmtId="0" fontId="12" fillId="0" borderId="0"/>
    <xf numFmtId="0" fontId="13" fillId="0" borderId="0"/>
    <xf numFmtId="0" fontId="14" fillId="8" borderId="1"/>
    <xf numFmtId="9" fontId="13" fillId="0" borderId="0" applyBorder="0" applyProtection="0"/>
    <xf numFmtId="0" fontId="40" fillId="0" borderId="0"/>
    <xf numFmtId="0" fontId="40" fillId="0" borderId="0"/>
    <xf numFmtId="166" fontId="13" fillId="0" borderId="0" applyBorder="0" applyProtection="0"/>
    <xf numFmtId="0" fontId="3" fillId="0" borderId="0"/>
    <xf numFmtId="0" fontId="21" fillId="9" borderId="0"/>
    <xf numFmtId="165" fontId="40" fillId="0" borderId="0"/>
    <xf numFmtId="0" fontId="41" fillId="0" borderId="0"/>
    <xf numFmtId="44" fontId="41" fillId="0" borderId="0" applyFont="0" applyFill="0" applyBorder="0" applyAlignment="0" applyProtection="0"/>
    <xf numFmtId="0" fontId="52" fillId="0" borderId="0"/>
    <xf numFmtId="0" fontId="21" fillId="0" borderId="0"/>
    <xf numFmtId="176" fontId="40" fillId="0" borderId="0"/>
    <xf numFmtId="9" fontId="14" fillId="0" borderId="0" applyBorder="0" applyProtection="0"/>
    <xf numFmtId="9" fontId="21" fillId="0" borderId="0" applyBorder="0" applyProtection="0"/>
  </cellStyleXfs>
  <cellXfs count="569">
    <xf numFmtId="0" fontId="0" fillId="0" borderId="0" xfId="0"/>
    <xf numFmtId="0" fontId="17" fillId="11" borderId="0" xfId="0" applyFont="1" applyFill="1" applyAlignment="1" applyProtection="1">
      <alignment horizontal="center" vertical="center"/>
      <protection locked="0"/>
    </xf>
    <xf numFmtId="0" fontId="16" fillId="0" borderId="0" xfId="0" applyFont="1"/>
    <xf numFmtId="167" fontId="16" fillId="0" borderId="0" xfId="0" applyNumberFormat="1" applyFont="1"/>
    <xf numFmtId="0" fontId="16" fillId="0" borderId="0" xfId="0" applyFont="1" applyAlignment="1">
      <alignment horizontal="center"/>
    </xf>
    <xf numFmtId="0" fontId="19" fillId="0" borderId="0" xfId="0" applyFont="1" applyAlignment="1">
      <alignment horizontal="center" vertical="center" wrapText="1"/>
    </xf>
    <xf numFmtId="0" fontId="19" fillId="11" borderId="0" xfId="0" applyFont="1" applyFill="1" applyAlignment="1">
      <alignment horizontal="center" vertical="center" wrapText="1"/>
    </xf>
    <xf numFmtId="0" fontId="20" fillId="12" borderId="0" xfId="0" applyFont="1" applyFill="1" applyAlignment="1">
      <alignment horizontal="center" vertical="center" wrapText="1"/>
    </xf>
    <xf numFmtId="0" fontId="17" fillId="19" borderId="0" xfId="0" applyFont="1" applyFill="1" applyAlignment="1">
      <alignment horizontal="center" vertical="center"/>
    </xf>
    <xf numFmtId="2" fontId="17" fillId="20" borderId="0" xfId="0" applyNumberFormat="1" applyFont="1" applyFill="1" applyAlignment="1">
      <alignment horizontal="center" vertical="center" wrapText="1"/>
    </xf>
    <xf numFmtId="0" fontId="17" fillId="20" borderId="0" xfId="0" applyFont="1" applyFill="1" applyAlignment="1">
      <alignment horizontal="center" vertical="center" wrapText="1"/>
    </xf>
    <xf numFmtId="2" fontId="17" fillId="21" borderId="0" xfId="0" applyNumberFormat="1" applyFont="1" applyFill="1" applyAlignment="1">
      <alignment horizontal="center" vertical="center" wrapText="1"/>
    </xf>
    <xf numFmtId="0" fontId="17" fillId="21" borderId="0" xfId="0" applyFont="1" applyFill="1" applyAlignment="1">
      <alignment horizontal="center" vertical="center" wrapText="1"/>
    </xf>
    <xf numFmtId="0" fontId="17" fillId="22" borderId="0" xfId="0" applyFont="1" applyFill="1" applyAlignment="1">
      <alignment horizontal="center" vertical="center" wrapText="1"/>
    </xf>
    <xf numFmtId="0" fontId="17" fillId="13" borderId="0" xfId="0" applyFont="1" applyFill="1" applyAlignment="1">
      <alignment horizontal="center" vertical="center" wrapText="1"/>
    </xf>
    <xf numFmtId="2" fontId="20" fillId="12" borderId="0" xfId="0" applyNumberFormat="1" applyFont="1" applyFill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6" fillId="14" borderId="0" xfId="0" applyFont="1" applyFill="1" applyAlignment="1">
      <alignment horizontal="center" wrapText="1"/>
    </xf>
    <xf numFmtId="0" fontId="16" fillId="14" borderId="0" xfId="0" applyFont="1" applyFill="1" applyAlignment="1">
      <alignment wrapText="1"/>
    </xf>
    <xf numFmtId="10" fontId="21" fillId="23" borderId="0" xfId="0" applyNumberFormat="1" applyFont="1" applyFill="1" applyAlignment="1">
      <alignment vertical="center"/>
    </xf>
    <xf numFmtId="167" fontId="16" fillId="16" borderId="0" xfId="0" applyNumberFormat="1" applyFont="1" applyFill="1" applyAlignment="1">
      <alignment wrapText="1"/>
    </xf>
    <xf numFmtId="167" fontId="16" fillId="17" borderId="0" xfId="0" applyNumberFormat="1" applyFont="1" applyFill="1" applyAlignment="1">
      <alignment wrapText="1"/>
    </xf>
    <xf numFmtId="3" fontId="16" fillId="17" borderId="0" xfId="0" applyNumberFormat="1" applyFont="1" applyFill="1" applyAlignment="1">
      <alignment horizontal="center" wrapText="1"/>
    </xf>
    <xf numFmtId="168" fontId="16" fillId="17" borderId="0" xfId="0" applyNumberFormat="1" applyFont="1" applyFill="1" applyAlignment="1">
      <alignment wrapText="1"/>
    </xf>
    <xf numFmtId="2" fontId="16" fillId="8" borderId="0" xfId="0" applyNumberFormat="1" applyFont="1" applyFill="1" applyAlignment="1">
      <alignment wrapText="1"/>
    </xf>
    <xf numFmtId="1" fontId="16" fillId="8" borderId="0" xfId="0" applyNumberFormat="1" applyFont="1" applyFill="1" applyAlignment="1">
      <alignment horizontal="center" wrapText="1"/>
    </xf>
    <xf numFmtId="2" fontId="16" fillId="16" borderId="0" xfId="0" applyNumberFormat="1" applyFont="1" applyFill="1" applyAlignment="1">
      <alignment wrapText="1"/>
    </xf>
    <xf numFmtId="3" fontId="16" fillId="16" borderId="0" xfId="0" applyNumberFormat="1" applyFont="1" applyFill="1" applyAlignment="1">
      <alignment horizontal="center"/>
    </xf>
    <xf numFmtId="167" fontId="16" fillId="14" borderId="0" xfId="0" applyNumberFormat="1" applyFont="1" applyFill="1"/>
    <xf numFmtId="3" fontId="16" fillId="14" borderId="0" xfId="0" applyNumberFormat="1" applyFont="1" applyFill="1" applyAlignment="1">
      <alignment horizontal="center"/>
    </xf>
    <xf numFmtId="4" fontId="17" fillId="24" borderId="0" xfId="0" applyNumberFormat="1" applyFont="1" applyFill="1"/>
    <xf numFmtId="167" fontId="22" fillId="0" borderId="0" xfId="0" applyNumberFormat="1" applyFont="1"/>
    <xf numFmtId="0" fontId="22" fillId="0" borderId="0" xfId="0" applyFont="1"/>
    <xf numFmtId="4" fontId="22" fillId="0" borderId="0" xfId="0" applyNumberFormat="1" applyFont="1"/>
    <xf numFmtId="0" fontId="16" fillId="12" borderId="0" xfId="0" applyFont="1" applyFill="1" applyAlignment="1">
      <alignment horizontal="center" wrapText="1"/>
    </xf>
    <xf numFmtId="0" fontId="20" fillId="12" borderId="0" xfId="0" applyFont="1" applyFill="1" applyAlignment="1">
      <alignment wrapText="1"/>
    </xf>
    <xf numFmtId="0" fontId="23" fillId="12" borderId="0" xfId="0" applyFont="1" applyFill="1" applyAlignment="1">
      <alignment vertical="center"/>
    </xf>
    <xf numFmtId="167" fontId="20" fillId="12" borderId="0" xfId="0" applyNumberFormat="1" applyFont="1" applyFill="1" applyAlignment="1">
      <alignment wrapText="1"/>
    </xf>
    <xf numFmtId="3" fontId="20" fillId="12" borderId="0" xfId="0" applyNumberFormat="1" applyFont="1" applyFill="1" applyAlignment="1">
      <alignment horizontal="center" wrapText="1"/>
    </xf>
    <xf numFmtId="1" fontId="20" fillId="12" borderId="0" xfId="0" applyNumberFormat="1" applyFont="1" applyFill="1" applyAlignment="1">
      <alignment horizontal="center" wrapText="1"/>
    </xf>
    <xf numFmtId="0" fontId="16" fillId="13" borderId="3" xfId="0" applyFont="1" applyFill="1" applyBorder="1" applyAlignment="1">
      <alignment horizontal="center" vertical="center"/>
    </xf>
    <xf numFmtId="0" fontId="21" fillId="13" borderId="3" xfId="0" applyFont="1" applyFill="1" applyBorder="1" applyAlignment="1">
      <alignment vertical="center"/>
    </xf>
    <xf numFmtId="0" fontId="16" fillId="13" borderId="3" xfId="0" applyFont="1" applyFill="1" applyBorder="1" applyAlignment="1">
      <alignment vertical="center"/>
    </xf>
    <xf numFmtId="167" fontId="17" fillId="13" borderId="3" xfId="0" applyNumberFormat="1" applyFont="1" applyFill="1" applyBorder="1" applyAlignment="1">
      <alignment vertical="center"/>
    </xf>
    <xf numFmtId="167" fontId="16" fillId="13" borderId="3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21" fillId="14" borderId="0" xfId="0" applyFont="1" applyFill="1" applyAlignment="1">
      <alignment vertical="center"/>
    </xf>
    <xf numFmtId="0" fontId="16" fillId="14" borderId="5" xfId="0" applyFont="1" applyFill="1" applyBorder="1" applyAlignment="1">
      <alignment horizontal="center" vertical="center"/>
    </xf>
    <xf numFmtId="0" fontId="0" fillId="14" borderId="5" xfId="0" applyFill="1" applyBorder="1" applyAlignment="1">
      <alignment vertical="center"/>
    </xf>
    <xf numFmtId="0" fontId="16" fillId="14" borderId="5" xfId="0" applyFont="1" applyFill="1" applyBorder="1" applyAlignment="1">
      <alignment vertical="center"/>
    </xf>
    <xf numFmtId="3" fontId="16" fillId="14" borderId="5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24" fillId="0" borderId="0" xfId="0" applyFont="1"/>
    <xf numFmtId="0" fontId="26" fillId="0" borderId="2" xfId="0" applyFont="1" applyBorder="1" applyAlignment="1">
      <alignment horizontal="center" vertical="center"/>
    </xf>
    <xf numFmtId="0" fontId="26" fillId="0" borderId="2" xfId="0" applyFont="1" applyBorder="1" applyAlignment="1">
      <alignment horizontal="justify" vertical="center"/>
    </xf>
    <xf numFmtId="0" fontId="27" fillId="0" borderId="2" xfId="0" applyFont="1" applyBorder="1" applyAlignment="1">
      <alignment horizontal="justify"/>
    </xf>
    <xf numFmtId="167" fontId="26" fillId="0" borderId="2" xfId="0" applyNumberFormat="1" applyFont="1" applyBorder="1" applyAlignment="1">
      <alignment horizontal="center" vertical="center"/>
    </xf>
    <xf numFmtId="168" fontId="26" fillId="0" borderId="2" xfId="0" applyNumberFormat="1" applyFont="1" applyBorder="1" applyAlignment="1">
      <alignment horizontal="center" vertical="center"/>
    </xf>
    <xf numFmtId="0" fontId="27" fillId="0" borderId="2" xfId="0" applyFont="1" applyBorder="1"/>
    <xf numFmtId="0" fontId="27" fillId="0" borderId="2" xfId="0" applyFont="1" applyBorder="1" applyAlignment="1">
      <alignment horizontal="left"/>
    </xf>
    <xf numFmtId="0" fontId="27" fillId="0" borderId="2" xfId="0" applyFont="1" applyBorder="1" applyAlignment="1">
      <alignment horizontal="left" vertical="center"/>
    </xf>
    <xf numFmtId="0" fontId="20" fillId="11" borderId="0" xfId="0" applyFont="1" applyFill="1" applyAlignment="1">
      <alignment horizontal="center" vertical="center" wrapText="1"/>
    </xf>
    <xf numFmtId="0" fontId="25" fillId="11" borderId="0" xfId="0" applyFont="1" applyFill="1" applyAlignment="1">
      <alignment horizontal="center" vertical="center"/>
    </xf>
    <xf numFmtId="0" fontId="16" fillId="28" borderId="0" xfId="0" applyFont="1" applyFill="1" applyAlignment="1">
      <alignment horizontal="center" vertical="center"/>
    </xf>
    <xf numFmtId="0" fontId="22" fillId="19" borderId="0" xfId="0" applyFont="1" applyFill="1" applyAlignment="1">
      <alignment horizontal="center" vertical="center"/>
    </xf>
    <xf numFmtId="0" fontId="22" fillId="29" borderId="0" xfId="0" applyFont="1" applyFill="1" applyAlignment="1">
      <alignment horizontal="center" vertical="center" wrapText="1"/>
    </xf>
    <xf numFmtId="0" fontId="22" fillId="30" borderId="0" xfId="0" applyFont="1" applyFill="1" applyAlignment="1">
      <alignment horizontal="center" vertical="center" wrapText="1"/>
    </xf>
    <xf numFmtId="0" fontId="0" fillId="14" borderId="0" xfId="0" applyFill="1" applyAlignment="1">
      <alignment horizontal="center" vertical="center"/>
    </xf>
    <xf numFmtId="0" fontId="16" fillId="14" borderId="0" xfId="0" applyFont="1" applyFill="1"/>
    <xf numFmtId="0" fontId="16" fillId="18" borderId="0" xfId="0" applyFont="1" applyFill="1" applyAlignment="1">
      <alignment horizontal="center" wrapText="1"/>
    </xf>
    <xf numFmtId="3" fontId="16" fillId="26" borderId="0" xfId="0" applyNumberFormat="1" applyFont="1" applyFill="1" applyAlignment="1">
      <alignment horizontal="center" vertical="center"/>
    </xf>
    <xf numFmtId="3" fontId="16" fillId="27" borderId="0" xfId="0" applyNumberFormat="1" applyFont="1" applyFill="1" applyAlignment="1">
      <alignment horizontal="center" vertical="center"/>
    </xf>
    <xf numFmtId="0" fontId="23" fillId="12" borderId="0" xfId="0" applyFont="1" applyFill="1" applyAlignment="1">
      <alignment horizontal="center" vertical="center"/>
    </xf>
    <xf numFmtId="0" fontId="20" fillId="12" borderId="0" xfId="0" applyFont="1" applyFill="1"/>
    <xf numFmtId="3" fontId="25" fillId="12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9" fillId="0" borderId="0" xfId="0" applyFont="1" applyAlignment="1">
      <alignment horizontal="center" vertical="center"/>
    </xf>
    <xf numFmtId="4" fontId="29" fillId="0" borderId="0" xfId="0" applyNumberFormat="1" applyFont="1" applyAlignment="1">
      <alignment horizontal="center" vertical="center"/>
    </xf>
    <xf numFmtId="4" fontId="28" fillId="0" borderId="0" xfId="0" applyNumberFormat="1" applyFont="1" applyAlignment="1">
      <alignment horizontal="left" vertical="center"/>
    </xf>
    <xf numFmtId="0" fontId="16" fillId="3" borderId="0" xfId="0" applyFont="1" applyFill="1" applyAlignment="1" applyProtection="1">
      <alignment vertical="center"/>
      <protection locked="0"/>
    </xf>
    <xf numFmtId="0" fontId="16" fillId="0" borderId="0" xfId="0" applyFont="1" applyAlignment="1" applyProtection="1">
      <alignment vertical="center"/>
      <protection locked="0"/>
    </xf>
    <xf numFmtId="170" fontId="18" fillId="34" borderId="2" xfId="0" applyNumberFormat="1" applyFont="1" applyFill="1" applyBorder="1" applyAlignment="1">
      <alignment vertical="center"/>
    </xf>
    <xf numFmtId="0" fontId="31" fillId="32" borderId="2" xfId="0" applyFont="1" applyFill="1" applyBorder="1" applyAlignment="1">
      <alignment horizontal="center" vertical="center"/>
    </xf>
    <xf numFmtId="0" fontId="31" fillId="15" borderId="2" xfId="0" applyFont="1" applyFill="1" applyBorder="1" applyAlignment="1">
      <alignment horizontal="center" vertical="center"/>
    </xf>
    <xf numFmtId="0" fontId="17" fillId="15" borderId="2" xfId="0" applyFont="1" applyFill="1" applyBorder="1" applyAlignment="1">
      <alignment horizontal="center" vertical="center"/>
    </xf>
    <xf numFmtId="0" fontId="16" fillId="11" borderId="12" xfId="0" applyFont="1" applyFill="1" applyBorder="1" applyAlignment="1">
      <alignment horizontal="left" vertical="center"/>
    </xf>
    <xf numFmtId="10" fontId="28" fillId="11" borderId="12" xfId="0" applyNumberFormat="1" applyFont="1" applyFill="1" applyBorder="1" applyAlignment="1">
      <alignment horizontal="center" vertical="center"/>
    </xf>
    <xf numFmtId="167" fontId="35" fillId="11" borderId="12" xfId="0" applyNumberFormat="1" applyFont="1" applyFill="1" applyBorder="1" applyAlignment="1">
      <alignment vertical="center"/>
    </xf>
    <xf numFmtId="0" fontId="16" fillId="11" borderId="10" xfId="0" applyFont="1" applyFill="1" applyBorder="1" applyAlignment="1">
      <alignment horizontal="left" vertical="center"/>
    </xf>
    <xf numFmtId="173" fontId="16" fillId="11" borderId="10" xfId="1" applyNumberFormat="1" applyFont="1" applyFill="1" applyBorder="1" applyAlignment="1">
      <alignment vertical="center" wrapText="1"/>
    </xf>
    <xf numFmtId="167" fontId="35" fillId="11" borderId="10" xfId="0" applyNumberFormat="1" applyFont="1" applyFill="1" applyBorder="1" applyAlignment="1">
      <alignment vertical="center"/>
    </xf>
    <xf numFmtId="173" fontId="16" fillId="11" borderId="10" xfId="1" applyNumberFormat="1" applyFont="1" applyFill="1" applyBorder="1" applyAlignment="1">
      <alignment vertical="center"/>
    </xf>
    <xf numFmtId="0" fontId="16" fillId="11" borderId="9" xfId="0" applyFont="1" applyFill="1" applyBorder="1" applyAlignment="1">
      <alignment horizontal="left" vertical="center"/>
    </xf>
    <xf numFmtId="173" fontId="16" fillId="11" borderId="9" xfId="1" applyNumberFormat="1" applyFont="1" applyFill="1" applyBorder="1" applyAlignment="1">
      <alignment vertical="center"/>
    </xf>
    <xf numFmtId="167" fontId="16" fillId="11" borderId="9" xfId="0" applyNumberFormat="1" applyFont="1" applyFill="1" applyBorder="1" applyAlignment="1">
      <alignment vertical="center"/>
    </xf>
    <xf numFmtId="0" fontId="31" fillId="14" borderId="8" xfId="0" applyFont="1" applyFill="1" applyBorder="1" applyAlignment="1">
      <alignment vertical="center"/>
    </xf>
    <xf numFmtId="0" fontId="31" fillId="14" borderId="2" xfId="0" applyFont="1" applyFill="1" applyBorder="1" applyAlignment="1">
      <alignment horizontal="left" vertical="center"/>
    </xf>
    <xf numFmtId="167" fontId="17" fillId="14" borderId="14" xfId="0" applyNumberFormat="1" applyFont="1" applyFill="1" applyBorder="1" applyAlignment="1">
      <alignment vertical="center"/>
    </xf>
    <xf numFmtId="0" fontId="31" fillId="11" borderId="3" xfId="0" applyFont="1" applyFill="1" applyBorder="1" applyAlignment="1">
      <alignment horizontal="right" vertical="center"/>
    </xf>
    <xf numFmtId="10" fontId="31" fillId="11" borderId="3" xfId="0" applyNumberFormat="1" applyFont="1" applyFill="1" applyBorder="1" applyAlignment="1">
      <alignment horizontal="right" vertical="center"/>
    </xf>
    <xf numFmtId="167" fontId="17" fillId="11" borderId="3" xfId="0" applyNumberFormat="1" applyFont="1" applyFill="1" applyBorder="1" applyAlignment="1">
      <alignment vertical="center"/>
    </xf>
    <xf numFmtId="49" fontId="17" fillId="15" borderId="2" xfId="0" applyNumberFormat="1" applyFont="1" applyFill="1" applyBorder="1" applyAlignment="1">
      <alignment horizontal="center" vertical="center"/>
    </xf>
    <xf numFmtId="10" fontId="17" fillId="15" borderId="2" xfId="0" applyNumberFormat="1" applyFont="1" applyFill="1" applyBorder="1" applyAlignment="1">
      <alignment horizontal="center" vertical="center"/>
    </xf>
    <xf numFmtId="0" fontId="16" fillId="0" borderId="15" xfId="0" applyFont="1" applyBorder="1" applyAlignment="1">
      <alignment horizontal="left" vertical="center"/>
    </xf>
    <xf numFmtId="10" fontId="35" fillId="11" borderId="12" xfId="0" applyNumberFormat="1" applyFont="1" applyFill="1" applyBorder="1" applyAlignment="1">
      <alignment horizontal="center" vertical="center"/>
    </xf>
    <xf numFmtId="167" fontId="16" fillId="11" borderId="12" xfId="0" applyNumberFormat="1" applyFont="1" applyFill="1" applyBorder="1" applyAlignment="1">
      <alignment vertical="center"/>
    </xf>
    <xf numFmtId="0" fontId="16" fillId="0" borderId="16" xfId="0" applyFont="1" applyBorder="1" applyAlignment="1">
      <alignment horizontal="left" vertical="center"/>
    </xf>
    <xf numFmtId="10" fontId="35" fillId="11" borderId="10" xfId="0" applyNumberFormat="1" applyFont="1" applyFill="1" applyBorder="1" applyAlignment="1">
      <alignment horizontal="center" vertical="center"/>
    </xf>
    <xf numFmtId="167" fontId="16" fillId="11" borderId="10" xfId="0" applyNumberFormat="1" applyFont="1" applyFill="1" applyBorder="1" applyAlignment="1">
      <alignment vertical="center"/>
    </xf>
    <xf numFmtId="0" fontId="17" fillId="17" borderId="16" xfId="0" applyFont="1" applyFill="1" applyBorder="1" applyAlignment="1">
      <alignment horizontal="left" vertical="center"/>
    </xf>
    <xf numFmtId="10" fontId="17" fillId="17" borderId="10" xfId="0" applyNumberFormat="1" applyFont="1" applyFill="1" applyBorder="1" applyAlignment="1">
      <alignment horizontal="center" vertical="center"/>
    </xf>
    <xf numFmtId="167" fontId="17" fillId="17" borderId="10" xfId="0" applyNumberFormat="1" applyFont="1" applyFill="1" applyBorder="1" applyAlignment="1">
      <alignment horizontal="right" vertical="center"/>
    </xf>
    <xf numFmtId="10" fontId="16" fillId="11" borderId="10" xfId="0" applyNumberFormat="1" applyFont="1" applyFill="1" applyBorder="1" applyAlignment="1">
      <alignment horizontal="center" vertical="center"/>
    </xf>
    <xf numFmtId="0" fontId="16" fillId="0" borderId="17" xfId="0" applyFont="1" applyBorder="1" applyAlignment="1">
      <alignment horizontal="left" vertical="center"/>
    </xf>
    <xf numFmtId="10" fontId="16" fillId="11" borderId="9" xfId="0" applyNumberFormat="1" applyFont="1" applyFill="1" applyBorder="1" applyAlignment="1">
      <alignment horizontal="center" vertical="center"/>
    </xf>
    <xf numFmtId="10" fontId="16" fillId="14" borderId="12" xfId="0" applyNumberFormat="1" applyFont="1" applyFill="1" applyBorder="1" applyAlignment="1">
      <alignment horizontal="center" vertical="center"/>
    </xf>
    <xf numFmtId="167" fontId="17" fillId="14" borderId="2" xfId="0" applyNumberFormat="1" applyFont="1" applyFill="1" applyBorder="1" applyAlignment="1">
      <alignment vertical="center"/>
    </xf>
    <xf numFmtId="10" fontId="17" fillId="14" borderId="2" xfId="0" applyNumberFormat="1" applyFont="1" applyFill="1" applyBorder="1" applyAlignment="1">
      <alignment horizontal="center" vertical="center"/>
    </xf>
    <xf numFmtId="0" fontId="17" fillId="11" borderId="0" xfId="0" applyFont="1" applyFill="1" applyAlignment="1">
      <alignment horizontal="center" vertical="center"/>
    </xf>
    <xf numFmtId="10" fontId="17" fillId="11" borderId="0" xfId="0" applyNumberFormat="1" applyFont="1" applyFill="1" applyAlignment="1">
      <alignment horizontal="center" vertical="center"/>
    </xf>
    <xf numFmtId="167" fontId="17" fillId="11" borderId="0" xfId="0" applyNumberFormat="1" applyFont="1" applyFill="1" applyAlignment="1">
      <alignment vertical="center"/>
    </xf>
    <xf numFmtId="0" fontId="17" fillId="31" borderId="2" xfId="0" applyFont="1" applyFill="1" applyBorder="1" applyAlignment="1" applyProtection="1">
      <alignment horizontal="center" vertical="center" wrapText="1"/>
      <protection locked="0"/>
    </xf>
    <xf numFmtId="0" fontId="18" fillId="10" borderId="2" xfId="0" applyFont="1" applyFill="1" applyBorder="1" applyAlignment="1">
      <alignment horizontal="center" vertical="center"/>
    </xf>
    <xf numFmtId="167" fontId="18" fillId="10" borderId="2" xfId="0" applyNumberFormat="1" applyFont="1" applyFill="1" applyBorder="1" applyAlignment="1">
      <alignment horizontal="right" vertical="center"/>
    </xf>
    <xf numFmtId="0" fontId="18" fillId="11" borderId="0" xfId="0" applyFont="1" applyFill="1" applyAlignment="1">
      <alignment vertical="center"/>
    </xf>
    <xf numFmtId="0" fontId="18" fillId="11" borderId="0" xfId="0" applyFont="1" applyFill="1" applyAlignment="1">
      <alignment horizontal="center" vertical="center"/>
    </xf>
    <xf numFmtId="167" fontId="18" fillId="11" borderId="0" xfId="0" applyNumberFormat="1" applyFont="1" applyFill="1" applyAlignment="1">
      <alignment horizontal="right" vertical="center"/>
    </xf>
    <xf numFmtId="10" fontId="16" fillId="11" borderId="12" xfId="0" applyNumberFormat="1" applyFont="1" applyFill="1" applyBorder="1" applyAlignment="1">
      <alignment vertical="center"/>
    </xf>
    <xf numFmtId="0" fontId="31" fillId="14" borderId="8" xfId="0" applyFont="1" applyFill="1" applyBorder="1" applyAlignment="1">
      <alignment horizontal="center" vertical="center"/>
    </xf>
    <xf numFmtId="10" fontId="17" fillId="14" borderId="12" xfId="0" applyNumberFormat="1" applyFont="1" applyFill="1" applyBorder="1" applyAlignment="1">
      <alignment horizontal="center" vertical="center"/>
    </xf>
    <xf numFmtId="167" fontId="17" fillId="0" borderId="2" xfId="0" applyNumberFormat="1" applyFont="1" applyBorder="1" applyAlignment="1">
      <alignment vertical="center"/>
    </xf>
    <xf numFmtId="0" fontId="16" fillId="11" borderId="0" xfId="0" applyFont="1" applyFill="1" applyAlignment="1">
      <alignment vertical="center"/>
    </xf>
    <xf numFmtId="0" fontId="16" fillId="11" borderId="0" xfId="0" applyFont="1" applyFill="1" applyAlignment="1">
      <alignment horizontal="left" vertical="center"/>
    </xf>
    <xf numFmtId="167" fontId="16" fillId="11" borderId="0" xfId="0" applyNumberFormat="1" applyFont="1" applyFill="1" applyAlignment="1">
      <alignment vertical="center"/>
    </xf>
    <xf numFmtId="0" fontId="18" fillId="35" borderId="2" xfId="0" applyFont="1" applyFill="1" applyBorder="1" applyAlignment="1">
      <alignment horizontal="center" vertical="center"/>
    </xf>
    <xf numFmtId="167" fontId="18" fillId="35" borderId="2" xfId="0" applyNumberFormat="1" applyFont="1" applyFill="1" applyBorder="1" applyAlignment="1">
      <alignment horizontal="right" vertical="center"/>
    </xf>
    <xf numFmtId="168" fontId="18" fillId="35" borderId="2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2" fontId="35" fillId="15" borderId="0" xfId="0" applyNumberFormat="1" applyFont="1" applyFill="1" applyAlignment="1">
      <alignment wrapText="1"/>
    </xf>
    <xf numFmtId="2" fontId="20" fillId="12" borderId="0" xfId="0" applyNumberFormat="1" applyFont="1" applyFill="1" applyAlignment="1">
      <alignment wrapText="1"/>
    </xf>
    <xf numFmtId="0" fontId="31" fillId="11" borderId="5" xfId="0" applyFont="1" applyFill="1" applyBorder="1" applyAlignment="1">
      <alignment horizontal="right" vertical="center"/>
    </xf>
    <xf numFmtId="10" fontId="31" fillId="11" borderId="5" xfId="0" applyNumberFormat="1" applyFont="1" applyFill="1" applyBorder="1" applyAlignment="1">
      <alignment horizontal="right" vertical="center"/>
    </xf>
    <xf numFmtId="167" fontId="17" fillId="11" borderId="5" xfId="0" applyNumberFormat="1" applyFont="1" applyFill="1" applyBorder="1" applyAlignment="1">
      <alignment vertical="center"/>
    </xf>
    <xf numFmtId="49" fontId="17" fillId="15" borderId="6" xfId="0" applyNumberFormat="1" applyFont="1" applyFill="1" applyBorder="1" applyAlignment="1">
      <alignment vertical="center"/>
    </xf>
    <xf numFmtId="49" fontId="17" fillId="15" borderId="13" xfId="0" applyNumberFormat="1" applyFont="1" applyFill="1" applyBorder="1" applyAlignment="1">
      <alignment vertical="center"/>
    </xf>
    <xf numFmtId="0" fontId="16" fillId="0" borderId="18" xfId="0" applyFont="1" applyBorder="1" applyAlignment="1">
      <alignment vertical="center"/>
    </xf>
    <xf numFmtId="0" fontId="16" fillId="0" borderId="19" xfId="0" applyFont="1" applyBorder="1" applyAlignment="1">
      <alignment vertical="center"/>
    </xf>
    <xf numFmtId="0" fontId="16" fillId="0" borderId="20" xfId="0" applyFont="1" applyBorder="1" applyAlignment="1">
      <alignment vertical="center"/>
    </xf>
    <xf numFmtId="0" fontId="16" fillId="0" borderId="21" xfId="0" applyFont="1" applyBorder="1" applyAlignment="1">
      <alignment vertical="center"/>
    </xf>
    <xf numFmtId="0" fontId="17" fillId="17" borderId="20" xfId="0" applyFont="1" applyFill="1" applyBorder="1" applyAlignment="1">
      <alignment vertical="center"/>
    </xf>
    <xf numFmtId="0" fontId="17" fillId="17" borderId="21" xfId="0" applyFont="1" applyFill="1" applyBorder="1" applyAlignment="1">
      <alignment vertical="center"/>
    </xf>
    <xf numFmtId="0" fontId="16" fillId="0" borderId="22" xfId="0" applyFont="1" applyBorder="1" applyAlignment="1">
      <alignment vertical="center"/>
    </xf>
    <xf numFmtId="0" fontId="16" fillId="0" borderId="23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>
      <alignment horizontal="left"/>
    </xf>
    <xf numFmtId="0" fontId="16" fillId="0" borderId="0" xfId="17" applyFont="1"/>
    <xf numFmtId="0" fontId="30" fillId="0" borderId="0" xfId="17" applyFont="1" applyAlignment="1">
      <alignment horizontal="center" vertical="center"/>
    </xf>
    <xf numFmtId="0" fontId="20" fillId="37" borderId="0" xfId="17" applyFont="1" applyFill="1"/>
    <xf numFmtId="0" fontId="20" fillId="37" borderId="0" xfId="17" applyFont="1" applyFill="1" applyAlignment="1">
      <alignment horizontal="center" vertical="center"/>
    </xf>
    <xf numFmtId="0" fontId="20" fillId="38" borderId="0" xfId="17" applyFont="1" applyFill="1"/>
    <xf numFmtId="0" fontId="20" fillId="38" borderId="0" xfId="17" applyFont="1" applyFill="1" applyAlignment="1">
      <alignment horizontal="center"/>
    </xf>
    <xf numFmtId="0" fontId="16" fillId="4" borderId="0" xfId="17" applyFont="1" applyFill="1"/>
    <xf numFmtId="0" fontId="16" fillId="0" borderId="0" xfId="17" applyFont="1" applyAlignment="1">
      <alignment horizontal="center"/>
    </xf>
    <xf numFmtId="0" fontId="16" fillId="24" borderId="0" xfId="17" applyFont="1" applyFill="1" applyAlignment="1">
      <alignment horizontal="center"/>
    </xf>
    <xf numFmtId="4" fontId="16" fillId="24" borderId="0" xfId="17" applyNumberFormat="1" applyFont="1" applyFill="1"/>
    <xf numFmtId="4" fontId="16" fillId="0" borderId="0" xfId="17" applyNumberFormat="1" applyFont="1"/>
    <xf numFmtId="4" fontId="16" fillId="38" borderId="0" xfId="17" applyNumberFormat="1" applyFont="1" applyFill="1"/>
    <xf numFmtId="0" fontId="16" fillId="24" borderId="0" xfId="17" applyFont="1" applyFill="1"/>
    <xf numFmtId="0" fontId="38" fillId="0" borderId="0" xfId="17" applyFont="1" applyAlignment="1">
      <alignment horizontal="center"/>
    </xf>
    <xf numFmtId="0" fontId="17" fillId="32" borderId="0" xfId="0" applyFont="1" applyFill="1" applyAlignment="1">
      <alignment horizontal="center" vertical="center" wrapText="1"/>
    </xf>
    <xf numFmtId="0" fontId="33" fillId="32" borderId="0" xfId="0" applyFont="1" applyFill="1" applyAlignment="1">
      <alignment horizontal="center" vertical="center" wrapText="1"/>
    </xf>
    <xf numFmtId="0" fontId="16" fillId="12" borderId="0" xfId="0" applyFont="1" applyFill="1" applyAlignment="1">
      <alignment wrapText="1"/>
    </xf>
    <xf numFmtId="2" fontId="35" fillId="0" borderId="0" xfId="0" applyNumberFormat="1" applyFont="1" applyAlignment="1">
      <alignment wrapText="1"/>
    </xf>
    <xf numFmtId="0" fontId="16" fillId="0" borderId="0" xfId="0" applyFont="1" applyAlignment="1">
      <alignment wrapText="1"/>
    </xf>
    <xf numFmtId="2" fontId="16" fillId="0" borderId="0" xfId="0" applyNumberFormat="1" applyFont="1" applyAlignment="1">
      <alignment wrapText="1"/>
    </xf>
    <xf numFmtId="2" fontId="16" fillId="14" borderId="0" xfId="0" applyNumberFormat="1" applyFont="1" applyFill="1" applyAlignment="1">
      <alignment horizontal="center" wrapText="1"/>
    </xf>
    <xf numFmtId="2" fontId="16" fillId="14" borderId="0" xfId="0" applyNumberFormat="1" applyFont="1" applyFill="1" applyAlignment="1">
      <alignment wrapText="1"/>
    </xf>
    <xf numFmtId="0" fontId="16" fillId="11" borderId="0" xfId="0" applyFont="1" applyFill="1" applyAlignment="1">
      <alignment wrapText="1"/>
    </xf>
    <xf numFmtId="0" fontId="39" fillId="11" borderId="0" xfId="0" applyFont="1" applyFill="1"/>
    <xf numFmtId="0" fontId="12" fillId="11" borderId="0" xfId="0" applyFont="1" applyFill="1"/>
    <xf numFmtId="0" fontId="20" fillId="0" borderId="0" xfId="0" applyFont="1" applyAlignment="1">
      <alignment horizontal="center" vertical="center" wrapText="1"/>
    </xf>
    <xf numFmtId="0" fontId="17" fillId="15" borderId="0" xfId="0" applyFont="1" applyFill="1" applyAlignment="1">
      <alignment horizontal="center" vertical="center" wrapText="1"/>
    </xf>
    <xf numFmtId="167" fontId="17" fillId="14" borderId="0" xfId="0" applyNumberFormat="1" applyFont="1" applyFill="1" applyAlignment="1">
      <alignment vertical="center"/>
    </xf>
    <xf numFmtId="0" fontId="17" fillId="32" borderId="0" xfId="0" applyFont="1" applyFill="1" applyAlignment="1" applyProtection="1">
      <alignment horizontal="center" vertical="center" wrapText="1"/>
      <protection locked="0"/>
    </xf>
    <xf numFmtId="0" fontId="31" fillId="15" borderId="0" xfId="0" applyFont="1" applyFill="1" applyAlignment="1">
      <alignment vertical="center"/>
    </xf>
    <xf numFmtId="0" fontId="31" fillId="14" borderId="0" xfId="0" applyFont="1" applyFill="1" applyAlignment="1">
      <alignment vertical="center"/>
    </xf>
    <xf numFmtId="0" fontId="43" fillId="0" borderId="0" xfId="0" applyFont="1"/>
    <xf numFmtId="0" fontId="42" fillId="42" borderId="0" xfId="0" applyFont="1" applyFill="1"/>
    <xf numFmtId="0" fontId="17" fillId="11" borderId="0" xfId="0" applyFont="1" applyFill="1" applyAlignment="1" applyProtection="1">
      <alignment horizontal="right" vertical="center"/>
      <protection locked="0"/>
    </xf>
    <xf numFmtId="10" fontId="16" fillId="14" borderId="26" xfId="0" applyNumberFormat="1" applyFont="1" applyFill="1" applyBorder="1" applyAlignment="1">
      <alignment horizontal="center" vertical="center"/>
    </xf>
    <xf numFmtId="0" fontId="17" fillId="15" borderId="12" xfId="0" applyFont="1" applyFill="1" applyBorder="1" applyAlignment="1">
      <alignment horizontal="center" vertical="center"/>
    </xf>
    <xf numFmtId="0" fontId="16" fillId="0" borderId="18" xfId="0" applyFont="1" applyBorder="1" applyAlignment="1">
      <alignment horizontal="left" vertical="center"/>
    </xf>
    <xf numFmtId="0" fontId="16" fillId="0" borderId="20" xfId="0" applyFont="1" applyBorder="1" applyAlignment="1">
      <alignment horizontal="left" vertical="center"/>
    </xf>
    <xf numFmtId="0" fontId="17" fillId="17" borderId="20" xfId="0" applyFont="1" applyFill="1" applyBorder="1" applyAlignment="1">
      <alignment horizontal="left" vertical="center"/>
    </xf>
    <xf numFmtId="0" fontId="16" fillId="0" borderId="22" xfId="0" applyFont="1" applyBorder="1" applyAlignment="1">
      <alignment horizontal="left" vertical="center"/>
    </xf>
    <xf numFmtId="10" fontId="17" fillId="15" borderId="12" xfId="0" applyNumberFormat="1" applyFont="1" applyFill="1" applyBorder="1" applyAlignment="1">
      <alignment horizontal="center" vertical="center"/>
    </xf>
    <xf numFmtId="10" fontId="16" fillId="14" borderId="10" xfId="0" applyNumberFormat="1" applyFont="1" applyFill="1" applyBorder="1" applyAlignment="1">
      <alignment horizontal="center" vertical="center"/>
    </xf>
    <xf numFmtId="167" fontId="16" fillId="11" borderId="29" xfId="0" applyNumberFormat="1" applyFont="1" applyFill="1" applyBorder="1" applyAlignment="1">
      <alignment vertical="center"/>
    </xf>
    <xf numFmtId="10" fontId="35" fillId="11" borderId="24" xfId="0" applyNumberFormat="1" applyFont="1" applyFill="1" applyBorder="1" applyAlignment="1">
      <alignment horizontal="center" vertical="center"/>
    </xf>
    <xf numFmtId="10" fontId="35" fillId="11" borderId="25" xfId="0" applyNumberFormat="1" applyFont="1" applyFill="1" applyBorder="1" applyAlignment="1">
      <alignment horizontal="center" vertical="center"/>
    </xf>
    <xf numFmtId="10" fontId="17" fillId="17" borderId="25" xfId="0" applyNumberFormat="1" applyFont="1" applyFill="1" applyBorder="1" applyAlignment="1">
      <alignment horizontal="center" vertical="center"/>
    </xf>
    <xf numFmtId="10" fontId="16" fillId="11" borderId="25" xfId="0" applyNumberFormat="1" applyFont="1" applyFill="1" applyBorder="1" applyAlignment="1">
      <alignment horizontal="center" vertical="center"/>
    </xf>
    <xf numFmtId="10" fontId="16" fillId="11" borderId="27" xfId="0" applyNumberFormat="1" applyFont="1" applyFill="1" applyBorder="1" applyAlignment="1">
      <alignment horizontal="center" vertical="center"/>
    </xf>
    <xf numFmtId="167" fontId="17" fillId="14" borderId="9" xfId="0" applyNumberFormat="1" applyFont="1" applyFill="1" applyBorder="1" applyAlignment="1">
      <alignment vertical="center"/>
    </xf>
    <xf numFmtId="167" fontId="16" fillId="11" borderId="24" xfId="0" applyNumberFormat="1" applyFont="1" applyFill="1" applyBorder="1" applyAlignment="1">
      <alignment vertical="center"/>
    </xf>
    <xf numFmtId="167" fontId="16" fillId="11" borderId="25" xfId="0" applyNumberFormat="1" applyFont="1" applyFill="1" applyBorder="1" applyAlignment="1">
      <alignment vertical="center"/>
    </xf>
    <xf numFmtId="167" fontId="17" fillId="17" borderId="25" xfId="0" applyNumberFormat="1" applyFont="1" applyFill="1" applyBorder="1" applyAlignment="1">
      <alignment horizontal="right" vertical="center"/>
    </xf>
    <xf numFmtId="167" fontId="16" fillId="11" borderId="27" xfId="0" applyNumberFormat="1" applyFont="1" applyFill="1" applyBorder="1" applyAlignment="1">
      <alignment vertical="center"/>
    </xf>
    <xf numFmtId="4" fontId="16" fillId="0" borderId="0" xfId="17" applyNumberFormat="1" applyFont="1" applyAlignment="1">
      <alignment horizontal="right"/>
    </xf>
    <xf numFmtId="167" fontId="45" fillId="11" borderId="0" xfId="0" applyNumberFormat="1" applyFont="1" applyFill="1" applyAlignment="1">
      <alignment vertical="center"/>
    </xf>
    <xf numFmtId="167" fontId="46" fillId="14" borderId="0" xfId="0" applyNumberFormat="1" applyFont="1" applyFill="1" applyAlignment="1">
      <alignment vertical="center"/>
    </xf>
    <xf numFmtId="0" fontId="16" fillId="43" borderId="0" xfId="17" applyFont="1" applyFill="1"/>
    <xf numFmtId="4" fontId="16" fillId="43" borderId="0" xfId="17" applyNumberFormat="1" applyFont="1" applyFill="1"/>
    <xf numFmtId="171" fontId="47" fillId="0" borderId="2" xfId="26" applyNumberFormat="1" applyFont="1" applyBorder="1" applyAlignment="1" applyProtection="1">
      <alignment horizontal="center" vertical="center" wrapText="1"/>
      <protection locked="0"/>
    </xf>
    <xf numFmtId="0" fontId="48" fillId="0" borderId="2" xfId="0" applyFont="1" applyBorder="1" applyAlignment="1">
      <alignment horizontal="center" vertical="center" wrapText="1"/>
    </xf>
    <xf numFmtId="171" fontId="48" fillId="0" borderId="2" xfId="26" applyNumberFormat="1" applyFont="1" applyBorder="1" applyAlignment="1">
      <alignment horizontal="center" vertical="center" wrapText="1"/>
    </xf>
    <xf numFmtId="171" fontId="47" fillId="33" borderId="2" xfId="26" applyNumberFormat="1" applyFont="1" applyFill="1" applyBorder="1" applyAlignment="1" applyProtection="1">
      <alignment horizontal="center" vertical="center" wrapText="1"/>
      <protection locked="0"/>
    </xf>
    <xf numFmtId="0" fontId="48" fillId="33" borderId="2" xfId="0" applyFont="1" applyFill="1" applyBorder="1" applyAlignment="1">
      <alignment horizontal="center" vertical="center" wrapText="1"/>
    </xf>
    <xf numFmtId="171" fontId="48" fillId="33" borderId="2" xfId="26" applyNumberFormat="1" applyFont="1" applyFill="1" applyBorder="1" applyAlignment="1">
      <alignment horizontal="center" vertical="center" wrapText="1"/>
    </xf>
    <xf numFmtId="0" fontId="49" fillId="32" borderId="2" xfId="0" applyFont="1" applyFill="1" applyBorder="1" applyAlignment="1">
      <alignment horizontal="center" vertical="center" wrapText="1"/>
    </xf>
    <xf numFmtId="0" fontId="49" fillId="0" borderId="2" xfId="0" applyFont="1" applyBorder="1" applyAlignment="1">
      <alignment horizontal="left" vertical="center" indent="2"/>
    </xf>
    <xf numFmtId="0" fontId="49" fillId="33" borderId="2" xfId="0" applyFont="1" applyFill="1" applyBorder="1" applyAlignment="1">
      <alignment horizontal="left" vertical="center" indent="2"/>
    </xf>
    <xf numFmtId="171" fontId="50" fillId="35" borderId="2" xfId="26" applyNumberFormat="1" applyFont="1" applyFill="1" applyBorder="1" applyAlignment="1">
      <alignment horizontal="center" vertical="center" wrapText="1"/>
    </xf>
    <xf numFmtId="0" fontId="50" fillId="10" borderId="0" xfId="17" applyFont="1" applyFill="1" applyAlignment="1">
      <alignment vertical="center"/>
    </xf>
    <xf numFmtId="0" fontId="50" fillId="3" borderId="0" xfId="17" applyFont="1" applyFill="1" applyAlignment="1">
      <alignment horizontal="center"/>
    </xf>
    <xf numFmtId="0" fontId="48" fillId="24" borderId="0" xfId="17" applyFont="1" applyFill="1" applyAlignment="1">
      <alignment horizontal="center"/>
    </xf>
    <xf numFmtId="0" fontId="48" fillId="24" borderId="0" xfId="17" applyFont="1" applyFill="1"/>
    <xf numFmtId="0" fontId="48" fillId="0" borderId="0" xfId="17" applyFont="1"/>
    <xf numFmtId="2" fontId="48" fillId="0" borderId="0" xfId="17" applyNumberFormat="1" applyFont="1"/>
    <xf numFmtId="2" fontId="49" fillId="38" borderId="0" xfId="17" applyNumberFormat="1" applyFont="1" applyFill="1"/>
    <xf numFmtId="3" fontId="16" fillId="16" borderId="0" xfId="0" applyNumberFormat="1" applyFont="1" applyFill="1" applyAlignment="1">
      <alignment horizontal="center" wrapText="1"/>
    </xf>
    <xf numFmtId="10" fontId="16" fillId="23" borderId="0" xfId="0" applyNumberFormat="1" applyFont="1" applyFill="1" applyAlignment="1">
      <alignment vertical="center"/>
    </xf>
    <xf numFmtId="0" fontId="22" fillId="40" borderId="0" xfId="0" applyFont="1" applyFill="1" applyAlignment="1">
      <alignment horizontal="center" vertical="center" wrapText="1"/>
    </xf>
    <xf numFmtId="0" fontId="54" fillId="0" borderId="0" xfId="29" applyFont="1"/>
    <xf numFmtId="0" fontId="52" fillId="0" borderId="0" xfId="29"/>
    <xf numFmtId="0" fontId="53" fillId="11" borderId="34" xfId="29" applyFont="1" applyFill="1" applyBorder="1" applyAlignment="1">
      <alignment horizontal="center" vertical="center"/>
    </xf>
    <xf numFmtId="0" fontId="53" fillId="11" borderId="34" xfId="29" applyFont="1" applyFill="1" applyBorder="1" applyAlignment="1">
      <alignment vertical="center"/>
    </xf>
    <xf numFmtId="0" fontId="54" fillId="11" borderId="34" xfId="29" applyFont="1" applyFill="1" applyBorder="1" applyAlignment="1">
      <alignment vertical="center"/>
    </xf>
    <xf numFmtId="0" fontId="54" fillId="11" borderId="0" xfId="29" applyFont="1" applyFill="1" applyAlignment="1">
      <alignment vertical="center"/>
    </xf>
    <xf numFmtId="0" fontId="57" fillId="46" borderId="37" xfId="29" applyFont="1" applyFill="1" applyBorder="1" applyAlignment="1">
      <alignment vertical="center" wrapText="1"/>
    </xf>
    <xf numFmtId="170" fontId="57" fillId="46" borderId="2" xfId="31" applyNumberFormat="1" applyFont="1" applyFill="1" applyBorder="1" applyAlignment="1">
      <alignment horizontal="center" vertical="center"/>
    </xf>
    <xf numFmtId="0" fontId="54" fillId="11" borderId="37" xfId="29" applyFont="1" applyFill="1" applyBorder="1" applyAlignment="1">
      <alignment vertical="center" wrapText="1"/>
    </xf>
    <xf numFmtId="171" fontId="32" fillId="11" borderId="2" xfId="32" applyNumberFormat="1" applyFont="1" applyFill="1" applyBorder="1" applyAlignment="1" applyProtection="1">
      <alignment vertical="center"/>
    </xf>
    <xf numFmtId="170" fontId="57" fillId="11" borderId="2" xfId="31" applyNumberFormat="1" applyFont="1" applyFill="1" applyBorder="1"/>
    <xf numFmtId="10" fontId="32" fillId="11" borderId="2" xfId="32" applyNumberFormat="1" applyFont="1" applyFill="1" applyBorder="1" applyAlignment="1" applyProtection="1">
      <alignment vertical="center"/>
    </xf>
    <xf numFmtId="170" fontId="58" fillId="11" borderId="2" xfId="32" applyNumberFormat="1" applyFont="1" applyFill="1" applyBorder="1" applyAlignment="1" applyProtection="1">
      <alignment vertical="center"/>
    </xf>
    <xf numFmtId="0" fontId="16" fillId="11" borderId="37" xfId="29" applyFont="1" applyFill="1" applyBorder="1" applyAlignment="1">
      <alignment vertical="center" wrapText="1"/>
    </xf>
    <xf numFmtId="10" fontId="38" fillId="11" borderId="2" xfId="32" applyNumberFormat="1" applyFont="1" applyFill="1" applyBorder="1" applyAlignment="1" applyProtection="1">
      <alignment vertical="center"/>
    </xf>
    <xf numFmtId="170" fontId="59" fillId="11" borderId="2" xfId="31" applyNumberFormat="1" applyFont="1" applyFill="1" applyBorder="1"/>
    <xf numFmtId="0" fontId="17" fillId="47" borderId="37" xfId="29" applyFont="1" applyFill="1" applyBorder="1" applyAlignment="1">
      <alignment horizontal="right" vertical="center"/>
    </xf>
    <xf numFmtId="9" fontId="17" fillId="47" borderId="2" xfId="29" applyNumberFormat="1" applyFont="1" applyFill="1" applyBorder="1" applyAlignment="1">
      <alignment horizontal="center" vertical="center"/>
    </xf>
    <xf numFmtId="2" fontId="17" fillId="47" borderId="2" xfId="29" applyNumberFormat="1" applyFont="1" applyFill="1" applyBorder="1" applyAlignment="1">
      <alignment horizontal="right" vertical="center"/>
    </xf>
    <xf numFmtId="0" fontId="54" fillId="11" borderId="2" xfId="29" applyFont="1" applyFill="1" applyBorder="1" applyAlignment="1">
      <alignment horizontal="center" vertical="center"/>
    </xf>
    <xf numFmtId="170" fontId="57" fillId="14" borderId="37" xfId="31" applyNumberFormat="1" applyFont="1" applyFill="1" applyBorder="1" applyAlignment="1">
      <alignment horizontal="left" vertical="center"/>
    </xf>
    <xf numFmtId="170" fontId="57" fillId="14" borderId="2" xfId="31" applyNumberFormat="1" applyFont="1" applyFill="1" applyBorder="1" applyAlignment="1">
      <alignment horizontal="center" vertical="center"/>
    </xf>
    <xf numFmtId="0" fontId="16" fillId="0" borderId="37" xfId="29" applyFont="1" applyBorder="1" applyAlignment="1">
      <alignment vertical="center"/>
    </xf>
    <xf numFmtId="10" fontId="17" fillId="47" borderId="2" xfId="29" applyNumberFormat="1" applyFont="1" applyFill="1" applyBorder="1" applyAlignment="1">
      <alignment horizontal="center" vertical="center"/>
    </xf>
    <xf numFmtId="0" fontId="17" fillId="48" borderId="37" xfId="29" applyFont="1" applyFill="1" applyBorder="1" applyAlignment="1">
      <alignment vertical="center"/>
    </xf>
    <xf numFmtId="0" fontId="17" fillId="48" borderId="2" xfId="29" applyFont="1" applyFill="1" applyBorder="1" applyAlignment="1">
      <alignment vertical="center"/>
    </xf>
    <xf numFmtId="170" fontId="57" fillId="11" borderId="2" xfId="31" applyNumberFormat="1" applyFont="1" applyFill="1" applyBorder="1" applyAlignment="1">
      <alignment vertical="center"/>
    </xf>
    <xf numFmtId="172" fontId="32" fillId="11" borderId="2" xfId="32" applyNumberFormat="1" applyFont="1" applyFill="1" applyBorder="1" applyAlignment="1" applyProtection="1">
      <alignment horizontal="right" vertical="center"/>
    </xf>
    <xf numFmtId="172" fontId="32" fillId="11" borderId="2" xfId="32" applyNumberFormat="1" applyFont="1" applyFill="1" applyBorder="1" applyAlignment="1" applyProtection="1">
      <alignment vertical="center"/>
    </xf>
    <xf numFmtId="0" fontId="16" fillId="11" borderId="37" xfId="29" applyFont="1" applyFill="1" applyBorder="1" applyAlignment="1">
      <alignment vertical="center"/>
    </xf>
    <xf numFmtId="10" fontId="16" fillId="0" borderId="2" xfId="29" applyNumberFormat="1" applyFont="1" applyBorder="1" applyAlignment="1">
      <alignment horizontal="center" vertical="center"/>
    </xf>
    <xf numFmtId="4" fontId="16" fillId="0" borderId="2" xfId="29" applyNumberFormat="1" applyFont="1" applyBorder="1" applyAlignment="1">
      <alignment vertical="center"/>
    </xf>
    <xf numFmtId="0" fontId="54" fillId="0" borderId="0" xfId="29" applyFont="1" applyAlignment="1">
      <alignment horizontal="left"/>
    </xf>
    <xf numFmtId="2" fontId="16" fillId="0" borderId="2" xfId="29" applyNumberFormat="1" applyFont="1" applyBorder="1" applyAlignment="1">
      <alignment horizontal="right" vertical="center"/>
    </xf>
    <xf numFmtId="4" fontId="17" fillId="47" borderId="2" xfId="29" applyNumberFormat="1" applyFont="1" applyFill="1" applyBorder="1" applyAlignment="1">
      <alignment horizontal="right" vertical="center"/>
    </xf>
    <xf numFmtId="4" fontId="17" fillId="0" borderId="2" xfId="29" applyNumberFormat="1" applyFont="1" applyBorder="1" applyAlignment="1">
      <alignment horizontal="right" vertical="center"/>
    </xf>
    <xf numFmtId="10" fontId="32" fillId="11" borderId="2" xfId="32" applyNumberFormat="1" applyFont="1" applyFill="1" applyBorder="1" applyAlignment="1" applyProtection="1">
      <alignment vertical="center"/>
      <protection locked="0"/>
    </xf>
    <xf numFmtId="0" fontId="57" fillId="49" borderId="37" xfId="29" applyFont="1" applyFill="1" applyBorder="1" applyAlignment="1">
      <alignment horizontal="right" vertical="center" wrapText="1"/>
    </xf>
    <xf numFmtId="10" fontId="57" fillId="49" borderId="2" xfId="29" applyNumberFormat="1" applyFont="1" applyFill="1" applyBorder="1" applyAlignment="1">
      <alignment horizontal="right" vertical="center" wrapText="1"/>
    </xf>
    <xf numFmtId="170" fontId="57" fillId="49" borderId="2" xfId="29" applyNumberFormat="1" applyFont="1" applyFill="1" applyBorder="1" applyAlignment="1">
      <alignment vertical="center"/>
    </xf>
    <xf numFmtId="0" fontId="54" fillId="11" borderId="37" xfId="29" applyFont="1" applyFill="1" applyBorder="1" applyAlignment="1">
      <alignment horizontal="center" vertical="center"/>
    </xf>
    <xf numFmtId="177" fontId="32" fillId="11" borderId="2" xfId="32" applyNumberFormat="1" applyFont="1" applyFill="1" applyBorder="1" applyProtection="1"/>
    <xf numFmtId="0" fontId="16" fillId="0" borderId="37" xfId="29" applyFont="1" applyBorder="1" applyAlignment="1">
      <alignment wrapText="1"/>
    </xf>
    <xf numFmtId="177" fontId="32" fillId="11" borderId="2" xfId="32" applyNumberFormat="1" applyFont="1" applyFill="1" applyBorder="1" applyAlignment="1" applyProtection="1">
      <alignment vertical="center"/>
    </xf>
    <xf numFmtId="0" fontId="54" fillId="11" borderId="37" xfId="29" applyFont="1" applyFill="1" applyBorder="1" applyAlignment="1">
      <alignment vertical="center"/>
    </xf>
    <xf numFmtId="0" fontId="54" fillId="11" borderId="2" xfId="29" applyFont="1" applyFill="1" applyBorder="1" applyAlignment="1">
      <alignment vertical="center"/>
    </xf>
    <xf numFmtId="0" fontId="57" fillId="50" borderId="37" xfId="29" applyFont="1" applyFill="1" applyBorder="1" applyAlignment="1">
      <alignment vertical="center" wrapText="1"/>
    </xf>
    <xf numFmtId="10" fontId="32" fillId="50" borderId="2" xfId="32" applyNumberFormat="1" applyFont="1" applyFill="1" applyBorder="1" applyAlignment="1" applyProtection="1">
      <alignment vertical="center"/>
    </xf>
    <xf numFmtId="10" fontId="32" fillId="51" borderId="2" xfId="32" applyNumberFormat="1" applyFont="1" applyFill="1" applyBorder="1" applyAlignment="1" applyProtection="1">
      <alignment vertical="center"/>
    </xf>
    <xf numFmtId="0" fontId="32" fillId="11" borderId="2" xfId="32" applyNumberFormat="1" applyFont="1" applyFill="1" applyBorder="1" applyAlignment="1" applyProtection="1">
      <alignment vertical="center"/>
    </xf>
    <xf numFmtId="0" fontId="57" fillId="52" borderId="9" xfId="29" applyFont="1" applyFill="1" applyBorder="1" applyAlignment="1">
      <alignment horizontal="center" vertical="center" wrapText="1"/>
    </xf>
    <xf numFmtId="0" fontId="57" fillId="31" borderId="37" xfId="29" applyFont="1" applyFill="1" applyBorder="1" applyAlignment="1">
      <alignment vertical="center" wrapText="1"/>
    </xf>
    <xf numFmtId="0" fontId="57" fillId="31" borderId="2" xfId="29" applyFont="1" applyFill="1" applyBorder="1" applyAlignment="1">
      <alignment horizontal="center" vertical="center" wrapText="1"/>
    </xf>
    <xf numFmtId="170" fontId="57" fillId="31" borderId="2" xfId="31" applyNumberFormat="1" applyFont="1" applyFill="1" applyBorder="1" applyAlignment="1">
      <alignment horizontal="center" vertical="center"/>
    </xf>
    <xf numFmtId="0" fontId="57" fillId="11" borderId="37" xfId="29" applyFont="1" applyFill="1" applyBorder="1" applyAlignment="1">
      <alignment vertical="center" wrapText="1"/>
    </xf>
    <xf numFmtId="0" fontId="57" fillId="11" borderId="2" xfId="29" applyFont="1" applyFill="1" applyBorder="1" applyAlignment="1">
      <alignment vertical="center" wrapText="1"/>
    </xf>
    <xf numFmtId="170" fontId="57" fillId="11" borderId="2" xfId="29" applyNumberFormat="1" applyFont="1" applyFill="1" applyBorder="1" applyAlignment="1">
      <alignment vertical="center"/>
    </xf>
    <xf numFmtId="170" fontId="60" fillId="11" borderId="2" xfId="29" applyNumberFormat="1" applyFont="1" applyFill="1" applyBorder="1" applyAlignment="1">
      <alignment vertical="center"/>
    </xf>
    <xf numFmtId="10" fontId="57" fillId="11" borderId="2" xfId="29" applyNumberFormat="1" applyFont="1" applyFill="1" applyBorder="1" applyAlignment="1">
      <alignment horizontal="center" vertical="center" wrapText="1"/>
    </xf>
    <xf numFmtId="0" fontId="57" fillId="11" borderId="43" xfId="29" applyFont="1" applyFill="1" applyBorder="1" applyAlignment="1">
      <alignment vertical="center" wrapText="1"/>
    </xf>
    <xf numFmtId="170" fontId="60" fillId="11" borderId="12" xfId="29" applyNumberFormat="1" applyFont="1" applyFill="1" applyBorder="1" applyAlignment="1">
      <alignment vertical="center"/>
    </xf>
    <xf numFmtId="0" fontId="21" fillId="0" borderId="0" xfId="30"/>
    <xf numFmtId="10" fontId="20" fillId="34" borderId="2" xfId="0" applyNumberFormat="1" applyFont="1" applyFill="1" applyBorder="1" applyAlignment="1" applyProtection="1">
      <alignment horizontal="center" vertical="center" wrapText="1"/>
      <protection locked="0"/>
    </xf>
    <xf numFmtId="0" fontId="54" fillId="11" borderId="48" xfId="29" applyFont="1" applyFill="1" applyBorder="1" applyAlignment="1">
      <alignment vertical="center"/>
    </xf>
    <xf numFmtId="0" fontId="55" fillId="11" borderId="44" xfId="29" applyFont="1" applyFill="1" applyBorder="1" applyAlignment="1">
      <alignment horizontal="right" vertical="center"/>
    </xf>
    <xf numFmtId="0" fontId="54" fillId="0" borderId="34" xfId="29" applyFont="1" applyBorder="1"/>
    <xf numFmtId="0" fontId="53" fillId="11" borderId="0" xfId="29" applyFont="1" applyFill="1" applyAlignment="1">
      <alignment vertical="center"/>
    </xf>
    <xf numFmtId="0" fontId="55" fillId="8" borderId="51" xfId="29" applyFont="1" applyFill="1" applyBorder="1" applyAlignment="1">
      <alignment horizontal="center" vertical="center" wrapText="1"/>
    </xf>
    <xf numFmtId="0" fontId="55" fillId="11" borderId="0" xfId="29" applyFont="1" applyFill="1" applyAlignment="1">
      <alignment horizontal="right" vertical="center"/>
    </xf>
    <xf numFmtId="2" fontId="55" fillId="8" borderId="47" xfId="30" applyNumberFormat="1" applyFont="1" applyFill="1" applyBorder="1" applyAlignment="1">
      <alignment horizontal="center" vertical="center"/>
    </xf>
    <xf numFmtId="175" fontId="56" fillId="8" borderId="47" xfId="30" applyNumberFormat="1" applyFont="1" applyFill="1" applyBorder="1" applyAlignment="1">
      <alignment horizontal="center" vertical="center"/>
    </xf>
    <xf numFmtId="175" fontId="56" fillId="8" borderId="49" xfId="3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right" vertical="center" wrapText="1"/>
    </xf>
    <xf numFmtId="0" fontId="17" fillId="15" borderId="0" xfId="0" applyFont="1" applyFill="1" applyAlignment="1">
      <alignment horizontal="right" vertical="center" wrapText="1"/>
    </xf>
    <xf numFmtId="2" fontId="16" fillId="0" borderId="0" xfId="0" applyNumberFormat="1" applyFont="1" applyAlignment="1">
      <alignment horizontal="right" wrapText="1"/>
    </xf>
    <xf numFmtId="2" fontId="20" fillId="12" borderId="0" xfId="0" applyNumberFormat="1" applyFont="1" applyFill="1" applyAlignment="1">
      <alignment horizontal="right" wrapText="1"/>
    </xf>
    <xf numFmtId="167" fontId="17" fillId="14" borderId="0" xfId="0" applyNumberFormat="1" applyFont="1" applyFill="1" applyAlignment="1">
      <alignment horizontal="right" vertical="center"/>
    </xf>
    <xf numFmtId="2" fontId="16" fillId="0" borderId="0" xfId="0" applyNumberFormat="1" applyFont="1" applyAlignment="1">
      <alignment horizontal="right" vertical="center" wrapText="1"/>
    </xf>
    <xf numFmtId="2" fontId="20" fillId="12" borderId="0" xfId="0" applyNumberFormat="1" applyFont="1" applyFill="1" applyAlignment="1">
      <alignment horizontal="right" vertical="center" wrapText="1"/>
    </xf>
    <xf numFmtId="0" fontId="0" fillId="0" borderId="0" xfId="0" applyAlignment="1">
      <alignment horizontal="right" vertical="center"/>
    </xf>
    <xf numFmtId="164" fontId="16" fillId="0" borderId="0" xfId="17" applyNumberFormat="1" applyFont="1"/>
    <xf numFmtId="0" fontId="27" fillId="0" borderId="2" xfId="0" applyFont="1" applyBorder="1" applyAlignment="1">
      <alignment horizontal="center" vertical="center"/>
    </xf>
    <xf numFmtId="2" fontId="20" fillId="43" borderId="0" xfId="0" applyNumberFormat="1" applyFont="1" applyFill="1" applyAlignment="1">
      <alignment wrapText="1"/>
    </xf>
    <xf numFmtId="9" fontId="35" fillId="15" borderId="0" xfId="0" applyNumberFormat="1" applyFont="1" applyFill="1" applyAlignment="1">
      <alignment wrapText="1"/>
    </xf>
    <xf numFmtId="0" fontId="16" fillId="43" borderId="0" xfId="0" applyFont="1" applyFill="1" applyAlignment="1">
      <alignment horizontal="center" wrapText="1"/>
    </xf>
    <xf numFmtId="0" fontId="20" fillId="43" borderId="0" xfId="0" applyFont="1" applyFill="1" applyAlignment="1">
      <alignment wrapText="1"/>
    </xf>
    <xf numFmtId="0" fontId="0" fillId="43" borderId="0" xfId="0" applyFill="1"/>
    <xf numFmtId="0" fontId="17" fillId="14" borderId="0" xfId="0" applyFont="1" applyFill="1" applyAlignment="1">
      <alignment wrapText="1"/>
    </xf>
    <xf numFmtId="0" fontId="54" fillId="11" borderId="13" xfId="29" applyFont="1" applyFill="1" applyBorder="1" applyAlignment="1">
      <alignment horizontal="center" vertical="center"/>
    </xf>
    <xf numFmtId="0" fontId="16" fillId="0" borderId="0" xfId="17" applyFont="1" applyAlignment="1">
      <alignment horizontal="left" wrapText="1"/>
    </xf>
    <xf numFmtId="0" fontId="17" fillId="32" borderId="2" xfId="0" applyFont="1" applyFill="1" applyBorder="1" applyAlignment="1">
      <alignment horizontal="center" vertical="center"/>
    </xf>
    <xf numFmtId="0" fontId="17" fillId="32" borderId="2" xfId="0" applyFont="1" applyFill="1" applyBorder="1" applyAlignment="1">
      <alignment horizontal="center" vertical="center" wrapText="1"/>
    </xf>
    <xf numFmtId="164" fontId="17" fillId="47" borderId="2" xfId="29" applyNumberFormat="1" applyFont="1" applyFill="1" applyBorder="1" applyAlignment="1">
      <alignment horizontal="right" vertical="center"/>
    </xf>
    <xf numFmtId="164" fontId="57" fillId="11" borderId="2" xfId="31" applyNumberFormat="1" applyFont="1" applyFill="1" applyBorder="1"/>
    <xf numFmtId="170" fontId="57" fillId="11" borderId="2" xfId="31" applyNumberFormat="1" applyFont="1" applyFill="1" applyBorder="1" applyAlignment="1">
      <alignment horizontal="right" vertical="center"/>
    </xf>
    <xf numFmtId="170" fontId="57" fillId="50" borderId="2" xfId="31" applyNumberFormat="1" applyFont="1" applyFill="1" applyBorder="1" applyAlignment="1">
      <alignment horizontal="right" vertical="center"/>
    </xf>
    <xf numFmtId="170" fontId="54" fillId="0" borderId="2" xfId="31" applyNumberFormat="1" applyFont="1" applyBorder="1" applyAlignment="1">
      <alignment horizontal="right" vertical="center"/>
    </xf>
    <xf numFmtId="170" fontId="57" fillId="51" borderId="2" xfId="31" applyNumberFormat="1" applyFont="1" applyFill="1" applyBorder="1" applyAlignment="1">
      <alignment horizontal="right" vertical="center"/>
    </xf>
    <xf numFmtId="167" fontId="35" fillId="11" borderId="8" xfId="0" applyNumberFormat="1" applyFont="1" applyFill="1" applyBorder="1" applyAlignment="1">
      <alignment vertical="center"/>
    </xf>
    <xf numFmtId="167" fontId="35" fillId="11" borderId="7" xfId="0" applyNumberFormat="1" applyFont="1" applyFill="1" applyBorder="1" applyAlignment="1">
      <alignment vertical="center"/>
    </xf>
    <xf numFmtId="167" fontId="35" fillId="11" borderId="28" xfId="0" applyNumberFormat="1" applyFont="1" applyFill="1" applyBorder="1" applyAlignment="1">
      <alignment vertical="center"/>
    </xf>
    <xf numFmtId="0" fontId="17" fillId="15" borderId="6" xfId="0" applyFont="1" applyFill="1" applyBorder="1" applyAlignment="1">
      <alignment horizontal="center" vertical="center"/>
    </xf>
    <xf numFmtId="167" fontId="16" fillId="11" borderId="11" xfId="0" applyNumberFormat="1" applyFont="1" applyFill="1" applyBorder="1" applyAlignment="1">
      <alignment vertical="center"/>
    </xf>
    <xf numFmtId="0" fontId="17" fillId="15" borderId="13" xfId="0" applyFont="1" applyFill="1" applyBorder="1" applyAlignment="1">
      <alignment horizontal="center" vertical="center"/>
    </xf>
    <xf numFmtId="0" fontId="17" fillId="32" borderId="12" xfId="0" applyFont="1" applyFill="1" applyBorder="1" applyAlignment="1">
      <alignment horizontal="center" vertical="center" wrapText="1"/>
    </xf>
    <xf numFmtId="167" fontId="17" fillId="14" borderId="57" xfId="0" applyNumberFormat="1" applyFont="1" applyFill="1" applyBorder="1" applyAlignment="1">
      <alignment vertical="center"/>
    </xf>
    <xf numFmtId="0" fontId="17" fillId="15" borderId="52" xfId="0" applyFont="1" applyFill="1" applyBorder="1" applyAlignment="1">
      <alignment horizontal="center" vertical="center"/>
    </xf>
    <xf numFmtId="0" fontId="42" fillId="41" borderId="0" xfId="0" applyFont="1" applyFill="1" applyAlignment="1">
      <alignment horizontal="center"/>
    </xf>
    <xf numFmtId="0" fontId="16" fillId="0" borderId="0" xfId="17" applyFont="1" applyAlignment="1">
      <alignment horizontal="right"/>
    </xf>
    <xf numFmtId="0" fontId="20" fillId="37" borderId="0" xfId="17" applyFont="1" applyFill="1" applyAlignment="1">
      <alignment horizontal="right"/>
    </xf>
    <xf numFmtId="0" fontId="20" fillId="38" borderId="0" xfId="17" applyFont="1" applyFill="1" applyAlignment="1">
      <alignment horizontal="right"/>
    </xf>
    <xf numFmtId="0" fontId="16" fillId="4" borderId="0" xfId="17" applyFont="1" applyFill="1" applyAlignment="1">
      <alignment horizontal="right"/>
    </xf>
    <xf numFmtId="174" fontId="16" fillId="39" borderId="0" xfId="17" applyNumberFormat="1" applyFont="1" applyFill="1" applyAlignment="1">
      <alignment horizontal="right"/>
    </xf>
    <xf numFmtId="0" fontId="16" fillId="39" borderId="0" xfId="17" applyFont="1" applyFill="1" applyAlignment="1">
      <alignment horizontal="right"/>
    </xf>
    <xf numFmtId="0" fontId="37" fillId="4" borderId="0" xfId="17" applyFont="1" applyFill="1" applyAlignment="1">
      <alignment horizontal="right"/>
    </xf>
    <xf numFmtId="4" fontId="16" fillId="8" borderId="0" xfId="17" applyNumberFormat="1" applyFont="1" applyFill="1" applyAlignment="1">
      <alignment horizontal="right"/>
    </xf>
    <xf numFmtId="178" fontId="16" fillId="4" borderId="0" xfId="17" applyNumberFormat="1" applyFont="1" applyFill="1" applyAlignment="1">
      <alignment horizontal="right"/>
    </xf>
    <xf numFmtId="0" fontId="38" fillId="4" borderId="0" xfId="17" applyFont="1" applyFill="1" applyAlignment="1">
      <alignment horizontal="right"/>
    </xf>
    <xf numFmtId="4" fontId="16" fillId="43" borderId="0" xfId="17" applyNumberFormat="1" applyFont="1" applyFill="1" applyAlignment="1">
      <alignment horizontal="right"/>
    </xf>
    <xf numFmtId="0" fontId="42" fillId="42" borderId="0" xfId="0" applyFont="1" applyFill="1" applyAlignment="1">
      <alignment horizontal="right"/>
    </xf>
    <xf numFmtId="14" fontId="43" fillId="0" borderId="0" xfId="0" applyNumberFormat="1" applyFont="1" applyAlignment="1">
      <alignment horizontal="right"/>
    </xf>
    <xf numFmtId="0" fontId="43" fillId="0" borderId="0" xfId="0" applyFont="1" applyAlignment="1">
      <alignment horizontal="right"/>
    </xf>
    <xf numFmtId="14" fontId="16" fillId="0" borderId="0" xfId="17" applyNumberFormat="1" applyFont="1" applyAlignment="1">
      <alignment horizontal="right"/>
    </xf>
    <xf numFmtId="17" fontId="43" fillId="0" borderId="0" xfId="0" applyNumberFormat="1" applyFont="1" applyAlignment="1">
      <alignment horizontal="left"/>
    </xf>
    <xf numFmtId="0" fontId="43" fillId="0" borderId="0" xfId="0" applyFont="1" applyAlignment="1">
      <alignment horizontal="left"/>
    </xf>
    <xf numFmtId="14" fontId="43" fillId="0" borderId="0" xfId="0" applyNumberFormat="1" applyFont="1" applyAlignment="1">
      <alignment horizontal="left"/>
    </xf>
    <xf numFmtId="2" fontId="16" fillId="4" borderId="0" xfId="17" applyNumberFormat="1" applyFont="1" applyFill="1" applyAlignment="1">
      <alignment horizontal="right"/>
    </xf>
    <xf numFmtId="2" fontId="16" fillId="24" borderId="0" xfId="17" applyNumberFormat="1" applyFont="1" applyFill="1"/>
    <xf numFmtId="0" fontId="61" fillId="54" borderId="0" xfId="0" applyFont="1" applyFill="1" applyAlignment="1">
      <alignment horizontal="center" wrapText="1"/>
    </xf>
    <xf numFmtId="10" fontId="42" fillId="42" borderId="0" xfId="0" applyNumberFormat="1" applyFont="1" applyFill="1" applyAlignment="1">
      <alignment horizontal="center"/>
    </xf>
    <xf numFmtId="2" fontId="44" fillId="0" borderId="0" xfId="0" applyNumberFormat="1" applyFont="1" applyAlignment="1">
      <alignment horizontal="center"/>
    </xf>
    <xf numFmtId="4" fontId="17" fillId="38" borderId="0" xfId="17" applyNumberFormat="1" applyFont="1" applyFill="1"/>
    <xf numFmtId="4" fontId="16" fillId="0" borderId="0" xfId="17" applyNumberFormat="1" applyFont="1" applyAlignment="1">
      <alignment horizontal="center"/>
    </xf>
    <xf numFmtId="4" fontId="17" fillId="38" borderId="0" xfId="17" applyNumberFormat="1" applyFont="1" applyFill="1" applyAlignment="1">
      <alignment horizontal="center"/>
    </xf>
    <xf numFmtId="0" fontId="16" fillId="14" borderId="61" xfId="0" applyFont="1" applyFill="1" applyBorder="1" applyAlignment="1">
      <alignment horizontal="center" vertical="center"/>
    </xf>
    <xf numFmtId="0" fontId="21" fillId="14" borderId="61" xfId="0" applyFont="1" applyFill="1" applyBorder="1" applyAlignment="1">
      <alignment vertical="center"/>
    </xf>
    <xf numFmtId="0" fontId="16" fillId="14" borderId="61" xfId="0" applyFont="1" applyFill="1" applyBorder="1" applyAlignment="1">
      <alignment vertical="center"/>
    </xf>
    <xf numFmtId="3" fontId="16" fillId="14" borderId="61" xfId="0" applyNumberFormat="1" applyFont="1" applyFill="1" applyBorder="1" applyAlignment="1">
      <alignment horizontal="center" vertical="center"/>
    </xf>
    <xf numFmtId="0" fontId="17" fillId="14" borderId="62" xfId="0" applyFont="1" applyFill="1" applyBorder="1" applyAlignment="1">
      <alignment horizontal="center" vertical="center"/>
    </xf>
    <xf numFmtId="3" fontId="17" fillId="14" borderId="62" xfId="0" applyNumberFormat="1" applyFont="1" applyFill="1" applyBorder="1" applyAlignment="1">
      <alignment horizontal="center" vertical="center"/>
    </xf>
    <xf numFmtId="4" fontId="16" fillId="14" borderId="62" xfId="0" applyNumberFormat="1" applyFont="1" applyFill="1" applyBorder="1" applyAlignment="1">
      <alignment horizontal="center" vertical="center"/>
    </xf>
    <xf numFmtId="167" fontId="17" fillId="14" borderId="62" xfId="0" applyNumberFormat="1" applyFont="1" applyFill="1" applyBorder="1" applyAlignment="1">
      <alignment horizontal="right" vertical="center"/>
    </xf>
    <xf numFmtId="0" fontId="17" fillId="14" borderId="5" xfId="0" applyFont="1" applyFill="1" applyBorder="1" applyAlignment="1">
      <alignment horizontal="center" vertical="center"/>
    </xf>
    <xf numFmtId="3" fontId="17" fillId="14" borderId="5" xfId="0" applyNumberFormat="1" applyFont="1" applyFill="1" applyBorder="1" applyAlignment="1">
      <alignment horizontal="center" vertical="center"/>
    </xf>
    <xf numFmtId="4" fontId="17" fillId="14" borderId="5" xfId="0" applyNumberFormat="1" applyFont="1" applyFill="1" applyBorder="1" applyAlignment="1">
      <alignment horizontal="center" vertical="center"/>
    </xf>
    <xf numFmtId="167" fontId="17" fillId="14" borderId="5" xfId="0" applyNumberFormat="1" applyFont="1" applyFill="1" applyBorder="1" applyAlignment="1">
      <alignment horizontal="right" vertical="center"/>
    </xf>
    <xf numFmtId="9" fontId="17" fillId="53" borderId="4" xfId="0" applyNumberFormat="1" applyFont="1" applyFill="1" applyBorder="1" applyAlignment="1">
      <alignment horizontal="left" vertical="center" wrapText="1"/>
    </xf>
    <xf numFmtId="0" fontId="0" fillId="11" borderId="0" xfId="0" applyFill="1"/>
    <xf numFmtId="9" fontId="17" fillId="53" borderId="4" xfId="0" applyNumberFormat="1" applyFont="1" applyFill="1" applyBorder="1" applyAlignment="1">
      <alignment vertical="center" wrapText="1"/>
    </xf>
    <xf numFmtId="0" fontId="17" fillId="43" borderId="4" xfId="0" applyFont="1" applyFill="1" applyBorder="1" applyAlignment="1">
      <alignment horizontal="right" vertical="center" wrapText="1"/>
    </xf>
    <xf numFmtId="9" fontId="17" fillId="43" borderId="4" xfId="0" applyNumberFormat="1" applyFont="1" applyFill="1" applyBorder="1" applyAlignment="1">
      <alignment vertical="center" wrapText="1"/>
    </xf>
    <xf numFmtId="0" fontId="20" fillId="37" borderId="0" xfId="17" applyFont="1" applyFill="1" applyAlignment="1">
      <alignment horizontal="center"/>
    </xf>
    <xf numFmtId="0" fontId="20" fillId="38" borderId="0" xfId="17" applyFont="1" applyFill="1" applyAlignment="1">
      <alignment horizontal="center" wrapText="1"/>
    </xf>
    <xf numFmtId="0" fontId="20" fillId="38" borderId="0" xfId="17" applyFont="1" applyFill="1" applyAlignment="1">
      <alignment horizontal="center" vertical="center"/>
    </xf>
    <xf numFmtId="4" fontId="64" fillId="8" borderId="0" xfId="17" applyNumberFormat="1" applyFont="1" applyFill="1" applyAlignment="1">
      <alignment horizontal="right"/>
    </xf>
    <xf numFmtId="0" fontId="50" fillId="3" borderId="4" xfId="17" applyFont="1" applyFill="1" applyBorder="1" applyAlignment="1">
      <alignment vertical="center" wrapText="1"/>
    </xf>
    <xf numFmtId="0" fontId="50" fillId="3" borderId="0" xfId="17" applyFont="1" applyFill="1" applyAlignment="1">
      <alignment vertical="center" wrapText="1"/>
    </xf>
    <xf numFmtId="171" fontId="48" fillId="55" borderId="0" xfId="26" applyNumberFormat="1" applyFont="1" applyFill="1" applyAlignment="1">
      <alignment horizontal="center" vertical="center" wrapText="1"/>
    </xf>
    <xf numFmtId="0" fontId="50" fillId="3" borderId="0" xfId="17" applyFont="1" applyFill="1" applyAlignment="1">
      <alignment wrapText="1"/>
    </xf>
    <xf numFmtId="0" fontId="50" fillId="3" borderId="0" xfId="17" applyFont="1" applyFill="1" applyAlignment="1">
      <alignment horizontal="right" wrapText="1"/>
    </xf>
    <xf numFmtId="10" fontId="16" fillId="14" borderId="2" xfId="0" applyNumberFormat="1" applyFont="1" applyFill="1" applyBorder="1" applyAlignment="1">
      <alignment horizontal="center" vertical="center"/>
    </xf>
    <xf numFmtId="10" fontId="18" fillId="10" borderId="2" xfId="0" applyNumberFormat="1" applyFont="1" applyFill="1" applyBorder="1" applyAlignment="1">
      <alignment horizontal="center" vertical="center"/>
    </xf>
    <xf numFmtId="167" fontId="16" fillId="3" borderId="0" xfId="0" applyNumberFormat="1" applyFont="1" applyFill="1" applyAlignment="1" applyProtection="1">
      <alignment vertical="center"/>
      <protection locked="0"/>
    </xf>
    <xf numFmtId="0" fontId="57" fillId="11" borderId="63" xfId="29" applyFont="1" applyFill="1" applyBorder="1" applyAlignment="1">
      <alignment horizontal="center" vertical="center"/>
    </xf>
    <xf numFmtId="0" fontId="57" fillId="44" borderId="64" xfId="29" applyFont="1" applyFill="1" applyBorder="1" applyAlignment="1">
      <alignment horizontal="center" vertical="center" wrapText="1"/>
    </xf>
    <xf numFmtId="0" fontId="57" fillId="44" borderId="65" xfId="30" applyFont="1" applyFill="1" applyBorder="1" applyAlignment="1">
      <alignment horizontal="center" vertical="center" wrapText="1"/>
    </xf>
    <xf numFmtId="170" fontId="57" fillId="46" borderId="67" xfId="31" applyNumberFormat="1" applyFont="1" applyFill="1" applyBorder="1" applyAlignment="1">
      <alignment horizontal="center" vertical="center"/>
    </xf>
    <xf numFmtId="164" fontId="57" fillId="11" borderId="67" xfId="31" applyNumberFormat="1" applyFont="1" applyFill="1" applyBorder="1"/>
    <xf numFmtId="170" fontId="57" fillId="11" borderId="67" xfId="31" applyNumberFormat="1" applyFont="1" applyFill="1" applyBorder="1"/>
    <xf numFmtId="170" fontId="59" fillId="11" borderId="67" xfId="31" applyNumberFormat="1" applyFont="1" applyFill="1" applyBorder="1"/>
    <xf numFmtId="164" fontId="17" fillId="47" borderId="67" xfId="29" applyNumberFormat="1" applyFont="1" applyFill="1" applyBorder="1" applyAlignment="1">
      <alignment horizontal="right" vertical="center"/>
    </xf>
    <xf numFmtId="0" fontId="54" fillId="11" borderId="67" xfId="29" applyFont="1" applyFill="1" applyBorder="1" applyAlignment="1">
      <alignment horizontal="center" vertical="center"/>
    </xf>
    <xf numFmtId="170" fontId="57" fillId="14" borderId="67" xfId="31" applyNumberFormat="1" applyFont="1" applyFill="1" applyBorder="1" applyAlignment="1">
      <alignment horizontal="center" vertical="center"/>
    </xf>
    <xf numFmtId="2" fontId="17" fillId="47" borderId="67" xfId="29" applyNumberFormat="1" applyFont="1" applyFill="1" applyBorder="1" applyAlignment="1">
      <alignment horizontal="right" vertical="center"/>
    </xf>
    <xf numFmtId="0" fontId="17" fillId="48" borderId="67" xfId="29" applyFont="1" applyFill="1" applyBorder="1" applyAlignment="1">
      <alignment vertical="center"/>
    </xf>
    <xf numFmtId="170" fontId="57" fillId="11" borderId="67" xfId="31" applyNumberFormat="1" applyFont="1" applyFill="1" applyBorder="1" applyAlignment="1">
      <alignment vertical="center"/>
    </xf>
    <xf numFmtId="4" fontId="16" fillId="0" borderId="67" xfId="29" applyNumberFormat="1" applyFont="1" applyBorder="1" applyAlignment="1">
      <alignment vertical="center"/>
    </xf>
    <xf numFmtId="2" fontId="16" fillId="0" borderId="67" xfId="29" applyNumberFormat="1" applyFont="1" applyBorder="1" applyAlignment="1">
      <alignment horizontal="right" vertical="center"/>
    </xf>
    <xf numFmtId="4" fontId="17" fillId="47" borderId="67" xfId="29" applyNumberFormat="1" applyFont="1" applyFill="1" applyBorder="1" applyAlignment="1">
      <alignment horizontal="right" vertical="center"/>
    </xf>
    <xf numFmtId="4" fontId="17" fillId="0" borderId="67" xfId="29" applyNumberFormat="1" applyFont="1" applyBorder="1" applyAlignment="1">
      <alignment horizontal="right" vertical="center"/>
    </xf>
    <xf numFmtId="170" fontId="57" fillId="49" borderId="67" xfId="29" applyNumberFormat="1" applyFont="1" applyFill="1" applyBorder="1" applyAlignment="1">
      <alignment vertical="center"/>
    </xf>
    <xf numFmtId="170" fontId="57" fillId="11" borderId="67" xfId="31" applyNumberFormat="1" applyFont="1" applyFill="1" applyBorder="1" applyAlignment="1">
      <alignment horizontal="right" vertical="center"/>
    </xf>
    <xf numFmtId="170" fontId="57" fillId="50" borderId="67" xfId="31" applyNumberFormat="1" applyFont="1" applyFill="1" applyBorder="1" applyAlignment="1">
      <alignment horizontal="right" vertical="center"/>
    </xf>
    <xf numFmtId="170" fontId="54" fillId="0" borderId="67" xfId="31" applyNumberFormat="1" applyFont="1" applyBorder="1" applyAlignment="1">
      <alignment horizontal="right" vertical="center"/>
    </xf>
    <xf numFmtId="170" fontId="57" fillId="51" borderId="67" xfId="31" applyNumberFormat="1" applyFont="1" applyFill="1" applyBorder="1" applyAlignment="1">
      <alignment horizontal="right" vertical="center"/>
    </xf>
    <xf numFmtId="170" fontId="54" fillId="11" borderId="67" xfId="31" applyNumberFormat="1" applyFont="1" applyFill="1" applyBorder="1" applyAlignment="1">
      <alignment vertical="center"/>
    </xf>
    <xf numFmtId="0" fontId="57" fillId="52" borderId="69" xfId="29" applyFont="1" applyFill="1" applyBorder="1" applyAlignment="1">
      <alignment horizontal="center" vertical="center" wrapText="1"/>
    </xf>
    <xf numFmtId="170" fontId="57" fillId="31" borderId="67" xfId="31" applyNumberFormat="1" applyFont="1" applyFill="1" applyBorder="1" applyAlignment="1">
      <alignment horizontal="center" vertical="center"/>
    </xf>
    <xf numFmtId="170" fontId="57" fillId="11" borderId="67" xfId="29" applyNumberFormat="1" applyFont="1" applyFill="1" applyBorder="1" applyAlignment="1">
      <alignment vertical="center"/>
    </xf>
    <xf numFmtId="170" fontId="60" fillId="11" borderId="67" xfId="29" applyNumberFormat="1" applyFont="1" applyFill="1" applyBorder="1" applyAlignment="1">
      <alignment vertical="center"/>
    </xf>
    <xf numFmtId="170" fontId="60" fillId="11" borderId="70" xfId="29" applyNumberFormat="1" applyFont="1" applyFill="1" applyBorder="1" applyAlignment="1">
      <alignment vertical="center"/>
    </xf>
    <xf numFmtId="170" fontId="18" fillId="34" borderId="67" xfId="0" applyNumberFormat="1" applyFont="1" applyFill="1" applyBorder="1" applyAlignment="1">
      <alignment vertical="center"/>
    </xf>
    <xf numFmtId="10" fontId="20" fillId="34" borderId="72" xfId="0" applyNumberFormat="1" applyFont="1" applyFill="1" applyBorder="1" applyAlignment="1" applyProtection="1">
      <alignment horizontal="center" vertical="center" wrapText="1"/>
      <protection locked="0"/>
    </xf>
    <xf numFmtId="170" fontId="18" fillId="34" borderId="72" xfId="0" applyNumberFormat="1" applyFont="1" applyFill="1" applyBorder="1" applyAlignment="1">
      <alignment vertical="center"/>
    </xf>
    <xf numFmtId="170" fontId="18" fillId="34" borderId="73" xfId="0" applyNumberFormat="1" applyFont="1" applyFill="1" applyBorder="1" applyAlignment="1">
      <alignment vertical="center"/>
    </xf>
    <xf numFmtId="170" fontId="52" fillId="0" borderId="0" xfId="29" applyNumberFormat="1"/>
    <xf numFmtId="0" fontId="51" fillId="3" borderId="0" xfId="0" applyFont="1" applyFill="1" applyAlignment="1">
      <alignment horizontal="center" vertical="center"/>
    </xf>
    <xf numFmtId="0" fontId="51" fillId="4" borderId="0" xfId="0" applyFont="1" applyFill="1" applyAlignment="1">
      <alignment horizontal="center" vertical="center"/>
    </xf>
    <xf numFmtId="0" fontId="51" fillId="43" borderId="0" xfId="0" applyFont="1" applyFill="1" applyAlignment="1">
      <alignment vertical="center"/>
    </xf>
    <xf numFmtId="4" fontId="65" fillId="56" borderId="0" xfId="0" applyNumberFormat="1" applyFont="1" applyFill="1" applyAlignment="1">
      <alignment vertical="center"/>
    </xf>
    <xf numFmtId="4" fontId="65" fillId="56" borderId="0" xfId="0" applyNumberFormat="1" applyFont="1" applyFill="1" applyAlignment="1">
      <alignment horizontal="center" vertical="center"/>
    </xf>
    <xf numFmtId="4" fontId="29" fillId="0" borderId="0" xfId="0" applyNumberFormat="1" applyFont="1" applyAlignment="1">
      <alignment vertical="center"/>
    </xf>
    <xf numFmtId="4" fontId="65" fillId="43" borderId="0" xfId="0" applyNumberFormat="1" applyFont="1" applyFill="1" applyAlignment="1">
      <alignment vertical="center"/>
    </xf>
    <xf numFmtId="0" fontId="50" fillId="2" borderId="0" xfId="0" applyFont="1" applyFill="1" applyAlignment="1">
      <alignment vertical="center"/>
    </xf>
    <xf numFmtId="0" fontId="51" fillId="24" borderId="0" xfId="0" applyFont="1" applyFill="1" applyAlignment="1">
      <alignment vertical="center" wrapText="1"/>
    </xf>
    <xf numFmtId="0" fontId="51" fillId="24" borderId="0" xfId="0" applyFont="1" applyFill="1" applyAlignment="1">
      <alignment vertical="center"/>
    </xf>
    <xf numFmtId="0" fontId="17" fillId="40" borderId="0" xfId="0" applyFont="1" applyFill="1" applyAlignment="1">
      <alignment horizontal="center" vertical="center" wrapText="1"/>
    </xf>
    <xf numFmtId="3" fontId="16" fillId="57" borderId="0" xfId="0" applyNumberFormat="1" applyFont="1" applyFill="1" applyAlignment="1">
      <alignment horizontal="center" wrapText="1"/>
    </xf>
    <xf numFmtId="167" fontId="16" fillId="57" borderId="0" xfId="0" applyNumberFormat="1" applyFont="1" applyFill="1" applyAlignment="1">
      <alignment horizontal="center" wrapText="1"/>
    </xf>
    <xf numFmtId="168" fontId="16" fillId="57" borderId="0" xfId="0" applyNumberFormat="1" applyFont="1" applyFill="1" applyAlignment="1">
      <alignment wrapText="1"/>
    </xf>
    <xf numFmtId="167" fontId="0" fillId="0" borderId="0" xfId="0" applyNumberFormat="1" applyAlignment="1">
      <alignment vertical="center"/>
    </xf>
    <xf numFmtId="167" fontId="16" fillId="43" borderId="0" xfId="0" applyNumberFormat="1" applyFont="1" applyFill="1" applyAlignment="1">
      <alignment horizontal="right" vertical="center"/>
    </xf>
    <xf numFmtId="2" fontId="17" fillId="58" borderId="0" xfId="0" applyNumberFormat="1" applyFont="1" applyFill="1" applyAlignment="1">
      <alignment horizontal="center" vertical="center" wrapText="1"/>
    </xf>
    <xf numFmtId="0" fontId="17" fillId="58" borderId="0" xfId="0" applyFont="1" applyFill="1" applyAlignment="1">
      <alignment horizontal="center" vertical="center" wrapText="1"/>
    </xf>
    <xf numFmtId="167" fontId="16" fillId="60" borderId="0" xfId="0" applyNumberFormat="1" applyFont="1" applyFill="1" applyAlignment="1">
      <alignment wrapText="1"/>
    </xf>
    <xf numFmtId="3" fontId="16" fillId="60" borderId="0" xfId="0" applyNumberFormat="1" applyFont="1" applyFill="1" applyAlignment="1">
      <alignment horizontal="center" wrapText="1"/>
    </xf>
    <xf numFmtId="168" fontId="16" fillId="60" borderId="0" xfId="0" applyNumberFormat="1" applyFont="1" applyFill="1" applyAlignment="1">
      <alignment wrapText="1"/>
    </xf>
    <xf numFmtId="3" fontId="16" fillId="13" borderId="3" xfId="0" applyNumberFormat="1" applyFont="1" applyFill="1" applyBorder="1" applyAlignment="1">
      <alignment horizontal="center" vertical="center"/>
    </xf>
    <xf numFmtId="168" fontId="16" fillId="0" borderId="0" xfId="0" applyNumberFormat="1" applyFont="1"/>
    <xf numFmtId="0" fontId="15" fillId="10" borderId="2" xfId="0" applyFont="1" applyFill="1" applyBorder="1" applyAlignment="1" applyProtection="1">
      <alignment horizontal="center" vertical="center"/>
      <protection locked="0"/>
    </xf>
    <xf numFmtId="0" fontId="17" fillId="11" borderId="0" xfId="0" applyFont="1" applyFill="1" applyAlignment="1" applyProtection="1">
      <alignment horizontal="center" vertical="center"/>
      <protection locked="0"/>
    </xf>
    <xf numFmtId="0" fontId="17" fillId="14" borderId="0" xfId="0" applyFont="1" applyFill="1" applyAlignment="1">
      <alignment horizontal="center" vertical="center"/>
    </xf>
    <xf numFmtId="0" fontId="15" fillId="12" borderId="2" xfId="0" applyFont="1" applyFill="1" applyBorder="1" applyAlignment="1">
      <alignment horizontal="center" vertical="center" wrapText="1"/>
    </xf>
    <xf numFmtId="0" fontId="0" fillId="0" borderId="0" xfId="0" applyAlignment="1"/>
    <xf numFmtId="0" fontId="15" fillId="10" borderId="7" xfId="0" applyFont="1" applyFill="1" applyBorder="1" applyAlignment="1" applyProtection="1">
      <alignment horizontal="center" vertical="center"/>
      <protection locked="0"/>
    </xf>
    <xf numFmtId="0" fontId="15" fillId="10" borderId="0" xfId="0" applyFont="1" applyFill="1" applyAlignment="1" applyProtection="1">
      <alignment horizontal="center" vertical="center"/>
      <protection locked="0"/>
    </xf>
    <xf numFmtId="0" fontId="15" fillId="12" borderId="7" xfId="0" applyFont="1" applyFill="1" applyBorder="1" applyAlignment="1">
      <alignment horizontal="center" vertical="center" wrapText="1"/>
    </xf>
    <xf numFmtId="0" fontId="15" fillId="12" borderId="0" xfId="0" applyFont="1" applyFill="1" applyAlignment="1">
      <alignment horizontal="center" vertical="center" wrapText="1"/>
    </xf>
    <xf numFmtId="0" fontId="17" fillId="14" borderId="62" xfId="0" applyFont="1" applyFill="1" applyBorder="1" applyAlignment="1">
      <alignment horizontal="center" vertical="center"/>
    </xf>
    <xf numFmtId="0" fontId="17" fillId="14" borderId="75" xfId="0" applyFont="1" applyFill="1" applyBorder="1" applyAlignment="1">
      <alignment horizontal="center" vertical="center"/>
    </xf>
    <xf numFmtId="0" fontId="62" fillId="53" borderId="4" xfId="0" applyFont="1" applyFill="1" applyBorder="1" applyAlignment="1">
      <alignment horizontal="right" vertical="center" wrapText="1"/>
    </xf>
    <xf numFmtId="0" fontId="17" fillId="53" borderId="4" xfId="0" applyFont="1" applyFill="1" applyBorder="1" applyAlignment="1">
      <alignment horizontal="right" vertical="center" wrapText="1"/>
    </xf>
    <xf numFmtId="0" fontId="17" fillId="57" borderId="4" xfId="0" applyFont="1" applyFill="1" applyBorder="1" applyAlignment="1">
      <alignment horizontal="center" vertical="center" wrapText="1"/>
    </xf>
    <xf numFmtId="0" fontId="17" fillId="57" borderId="0" xfId="0" applyFont="1" applyFill="1" applyAlignment="1">
      <alignment horizontal="center" vertical="center" wrapText="1"/>
    </xf>
    <xf numFmtId="0" fontId="17" fillId="16" borderId="0" xfId="0" applyFont="1" applyFill="1" applyAlignment="1">
      <alignment horizontal="center" vertical="center"/>
    </xf>
    <xf numFmtId="0" fontId="17" fillId="17" borderId="4" xfId="0" applyFont="1" applyFill="1" applyBorder="1" applyAlignment="1">
      <alignment horizontal="center" vertical="center" wrapText="1"/>
    </xf>
    <xf numFmtId="0" fontId="17" fillId="17" borderId="0" xfId="0" applyFont="1" applyFill="1" applyAlignment="1">
      <alignment horizontal="center" vertical="center" wrapText="1"/>
    </xf>
    <xf numFmtId="0" fontId="27" fillId="0" borderId="2" xfId="0" applyFont="1" applyBorder="1" applyAlignment="1">
      <alignment horizontal="center" vertical="center"/>
    </xf>
    <xf numFmtId="167" fontId="26" fillId="0" borderId="2" xfId="0" applyNumberFormat="1" applyFont="1" applyBorder="1" applyAlignment="1">
      <alignment horizontal="left" vertical="center"/>
    </xf>
    <xf numFmtId="0" fontId="17" fillId="8" borderId="0" xfId="0" applyFont="1" applyFill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0" fontId="17" fillId="16" borderId="0" xfId="0" applyFont="1" applyFill="1" applyAlignment="1">
      <alignment horizontal="center" vertical="center" wrapText="1"/>
    </xf>
    <xf numFmtId="0" fontId="17" fillId="59" borderId="4" xfId="0" applyFont="1" applyFill="1" applyBorder="1" applyAlignment="1">
      <alignment horizontal="center" vertical="center" wrapText="1"/>
    </xf>
    <xf numFmtId="0" fontId="17" fillId="59" borderId="0" xfId="0" applyFont="1" applyFill="1" applyAlignment="1">
      <alignment horizontal="center" vertical="center" wrapText="1"/>
    </xf>
    <xf numFmtId="4" fontId="65" fillId="56" borderId="0" xfId="0" applyNumberFormat="1" applyFont="1" applyFill="1" applyAlignment="1">
      <alignment horizontal="center" vertical="center"/>
    </xf>
    <xf numFmtId="0" fontId="51" fillId="4" borderId="0" xfId="0" applyFont="1" applyFill="1" applyAlignment="1">
      <alignment horizontal="center" vertical="center"/>
    </xf>
    <xf numFmtId="0" fontId="15" fillId="10" borderId="6" xfId="0" applyFont="1" applyFill="1" applyBorder="1" applyAlignment="1" applyProtection="1">
      <alignment horizontal="center" vertical="center"/>
      <protection locked="0"/>
    </xf>
    <xf numFmtId="0" fontId="17" fillId="11" borderId="4" xfId="0" applyFont="1" applyFill="1" applyBorder="1" applyAlignment="1" applyProtection="1">
      <alignment horizontal="center" vertical="center"/>
      <protection locked="0"/>
    </xf>
    <xf numFmtId="0" fontId="15" fillId="12" borderId="6" xfId="0" applyFont="1" applyFill="1" applyBorder="1" applyAlignment="1">
      <alignment horizontal="center" vertical="center" wrapText="1"/>
    </xf>
    <xf numFmtId="0" fontId="16" fillId="18" borderId="0" xfId="0" applyFont="1" applyFill="1" applyAlignment="1">
      <alignment horizontal="center" wrapText="1"/>
    </xf>
    <xf numFmtId="0" fontId="17" fillId="27" borderId="0" xfId="25" applyFont="1" applyFill="1" applyAlignment="1">
      <alignment horizontal="center" vertical="center"/>
    </xf>
    <xf numFmtId="0" fontId="17" fillId="26" borderId="0" xfId="25" applyFont="1" applyFill="1" applyAlignment="1">
      <alignment horizontal="center" vertical="center"/>
    </xf>
    <xf numFmtId="0" fontId="17" fillId="25" borderId="0" xfId="25" applyFont="1" applyFill="1" applyAlignment="1">
      <alignment horizontal="center" vertical="center"/>
    </xf>
    <xf numFmtId="0" fontId="57" fillId="45" borderId="38" xfId="29" applyFont="1" applyFill="1" applyBorder="1" applyAlignment="1">
      <alignment horizontal="left" vertical="center" wrapText="1"/>
    </xf>
    <xf numFmtId="0" fontId="57" fillId="45" borderId="3" xfId="29" applyFont="1" applyFill="1" applyBorder="1" applyAlignment="1">
      <alignment horizontal="left" vertical="center" wrapText="1"/>
    </xf>
    <xf numFmtId="0" fontId="57" fillId="45" borderId="68" xfId="29" applyFont="1" applyFill="1" applyBorder="1" applyAlignment="1">
      <alignment horizontal="left" vertical="center" wrapText="1"/>
    </xf>
    <xf numFmtId="0" fontId="53" fillId="0" borderId="30" xfId="29" applyFont="1" applyBorder="1" applyAlignment="1">
      <alignment horizontal="center" vertical="center"/>
    </xf>
    <xf numFmtId="0" fontId="53" fillId="0" borderId="31" xfId="29" applyFont="1" applyBorder="1" applyAlignment="1">
      <alignment horizontal="center" vertical="center"/>
    </xf>
    <xf numFmtId="0" fontId="53" fillId="0" borderId="53" xfId="29" applyFont="1" applyBorder="1" applyAlignment="1">
      <alignment horizontal="center" vertical="center"/>
    </xf>
    <xf numFmtId="0" fontId="53" fillId="0" borderId="45" xfId="29" applyFont="1" applyBorder="1" applyAlignment="1">
      <alignment horizontal="center" vertical="center"/>
    </xf>
    <xf numFmtId="0" fontId="53" fillId="11" borderId="32" xfId="29" applyFont="1" applyFill="1" applyBorder="1" applyAlignment="1">
      <alignment horizontal="center" vertical="center"/>
    </xf>
    <xf numFmtId="0" fontId="53" fillId="11" borderId="33" xfId="29" applyFont="1" applyFill="1" applyBorder="1" applyAlignment="1">
      <alignment horizontal="center" vertical="center"/>
    </xf>
    <xf numFmtId="0" fontId="53" fillId="11" borderId="54" xfId="29" applyFont="1" applyFill="1" applyBorder="1" applyAlignment="1">
      <alignment horizontal="center" vertical="center"/>
    </xf>
    <xf numFmtId="0" fontId="53" fillId="11" borderId="46" xfId="29" applyFont="1" applyFill="1" applyBorder="1" applyAlignment="1">
      <alignment horizontal="center" vertical="center"/>
    </xf>
    <xf numFmtId="0" fontId="57" fillId="45" borderId="56" xfId="29" applyFont="1" applyFill="1" applyBorder="1" applyAlignment="1">
      <alignment horizontal="left" vertical="center" wrapText="1"/>
    </xf>
    <xf numFmtId="0" fontId="57" fillId="45" borderId="55" xfId="29" applyFont="1" applyFill="1" applyBorder="1" applyAlignment="1">
      <alignment horizontal="left" vertical="center" wrapText="1"/>
    </xf>
    <xf numFmtId="0" fontId="57" fillId="45" borderId="66" xfId="29" applyFont="1" applyFill="1" applyBorder="1" applyAlignment="1">
      <alignment horizontal="left" vertical="center" wrapText="1"/>
    </xf>
    <xf numFmtId="0" fontId="54" fillId="11" borderId="38" xfId="29" applyFont="1" applyFill="1" applyBorder="1" applyAlignment="1">
      <alignment horizontal="center" vertical="center"/>
    </xf>
    <xf numFmtId="0" fontId="54" fillId="11" borderId="13" xfId="29" applyFont="1" applyFill="1" applyBorder="1" applyAlignment="1">
      <alignment horizontal="center" vertical="center"/>
    </xf>
    <xf numFmtId="0" fontId="55" fillId="8" borderId="74" xfId="29" applyFont="1" applyFill="1" applyBorder="1" applyAlignment="1">
      <alignment horizontal="center" vertical="center"/>
    </xf>
    <xf numFmtId="0" fontId="55" fillId="8" borderId="68" xfId="29" applyFont="1" applyFill="1" applyBorder="1" applyAlignment="1">
      <alignment horizontal="center" vertical="center"/>
    </xf>
    <xf numFmtId="0" fontId="20" fillId="34" borderId="43" xfId="0" applyFont="1" applyFill="1" applyBorder="1" applyAlignment="1" applyProtection="1">
      <alignment horizontal="center" vertical="center" wrapText="1"/>
      <protection locked="0"/>
    </xf>
    <xf numFmtId="0" fontId="20" fillId="34" borderId="50" xfId="0" applyFont="1" applyFill="1" applyBorder="1" applyAlignment="1" applyProtection="1">
      <alignment horizontal="center" vertical="center" wrapText="1"/>
      <protection locked="0"/>
    </xf>
    <xf numFmtId="0" fontId="20" fillId="34" borderId="71" xfId="0" applyFont="1" applyFill="1" applyBorder="1" applyAlignment="1" applyProtection="1">
      <alignment horizontal="center" vertical="center" wrapText="1"/>
      <protection locked="0"/>
    </xf>
    <xf numFmtId="0" fontId="54" fillId="0" borderId="48" xfId="29" applyFont="1" applyBorder="1" applyAlignment="1">
      <alignment horizontal="left" vertical="center" wrapText="1"/>
    </xf>
    <xf numFmtId="0" fontId="54" fillId="0" borderId="44" xfId="29" applyFont="1" applyBorder="1" applyAlignment="1">
      <alignment horizontal="left" vertical="center" wrapText="1"/>
    </xf>
    <xf numFmtId="0" fontId="17" fillId="47" borderId="37" xfId="29" applyFont="1" applyFill="1" applyBorder="1" applyAlignment="1">
      <alignment horizontal="center" vertical="center"/>
    </xf>
    <xf numFmtId="0" fontId="54" fillId="11" borderId="36" xfId="29" applyFont="1" applyFill="1" applyBorder="1" applyAlignment="1">
      <alignment horizontal="center" vertical="center"/>
    </xf>
    <xf numFmtId="0" fontId="54" fillId="11" borderId="35" xfId="29" applyFont="1" applyFill="1" applyBorder="1" applyAlignment="1">
      <alignment horizontal="center" vertical="center"/>
    </xf>
    <xf numFmtId="0" fontId="54" fillId="11" borderId="47" xfId="29" applyFont="1" applyFill="1" applyBorder="1" applyAlignment="1">
      <alignment horizontal="center" vertical="center"/>
    </xf>
    <xf numFmtId="0" fontId="54" fillId="11" borderId="39" xfId="29" applyFont="1" applyFill="1" applyBorder="1" applyAlignment="1">
      <alignment horizontal="center" vertical="center"/>
    </xf>
    <xf numFmtId="0" fontId="54" fillId="11" borderId="40" xfId="29" applyFont="1" applyFill="1" applyBorder="1" applyAlignment="1">
      <alignment horizontal="center" vertical="center"/>
    </xf>
    <xf numFmtId="0" fontId="54" fillId="11" borderId="49" xfId="29" applyFont="1" applyFill="1" applyBorder="1" applyAlignment="1">
      <alignment horizontal="center" vertical="center"/>
    </xf>
    <xf numFmtId="0" fontId="57" fillId="52" borderId="41" xfId="29" applyFont="1" applyFill="1" applyBorder="1" applyAlignment="1">
      <alignment horizontal="center" vertical="center" wrapText="1"/>
    </xf>
    <xf numFmtId="0" fontId="57" fillId="52" borderId="42" xfId="29" applyFont="1" applyFill="1" applyBorder="1" applyAlignment="1">
      <alignment horizontal="center" vertical="center" wrapText="1"/>
    </xf>
    <xf numFmtId="0" fontId="20" fillId="34" borderId="41" xfId="0" applyFont="1" applyFill="1" applyBorder="1" applyAlignment="1" applyProtection="1">
      <alignment horizontal="center" vertical="center" wrapText="1"/>
      <protection locked="0"/>
    </xf>
    <xf numFmtId="0" fontId="42" fillId="41" borderId="0" xfId="0" applyFont="1" applyFill="1" applyAlignment="1">
      <alignment horizontal="left"/>
    </xf>
    <xf numFmtId="2" fontId="44" fillId="0" borderId="52" xfId="0" applyNumberFormat="1" applyFont="1" applyBorder="1" applyAlignment="1">
      <alignment horizontal="center" vertical="center"/>
    </xf>
    <xf numFmtId="0" fontId="16" fillId="0" borderId="0" xfId="17" applyFont="1" applyAlignment="1">
      <alignment horizontal="center"/>
    </xf>
    <xf numFmtId="0" fontId="30" fillId="10" borderId="2" xfId="17" applyFont="1" applyFill="1" applyBorder="1" applyAlignment="1">
      <alignment horizontal="center" vertical="center"/>
    </xf>
    <xf numFmtId="0" fontId="15" fillId="10" borderId="2" xfId="17" applyFont="1" applyFill="1" applyBorder="1" applyAlignment="1" applyProtection="1">
      <alignment horizontal="center" vertical="center"/>
      <protection locked="0"/>
    </xf>
    <xf numFmtId="0" fontId="17" fillId="11" borderId="0" xfId="17" applyFont="1" applyFill="1" applyAlignment="1" applyProtection="1">
      <alignment horizontal="center" vertical="center"/>
      <protection locked="0"/>
    </xf>
    <xf numFmtId="0" fontId="15" fillId="12" borderId="2" xfId="17" applyFont="1" applyFill="1" applyBorder="1" applyAlignment="1">
      <alignment horizontal="center" vertical="center" wrapText="1"/>
    </xf>
    <xf numFmtId="0" fontId="17" fillId="11" borderId="5" xfId="0" applyFont="1" applyFill="1" applyBorder="1" applyAlignment="1" applyProtection="1">
      <alignment horizontal="center" vertical="center"/>
      <protection locked="0"/>
    </xf>
    <xf numFmtId="0" fontId="30" fillId="10" borderId="2" xfId="0" applyFont="1" applyFill="1" applyBorder="1" applyAlignment="1" applyProtection="1">
      <alignment horizontal="center" vertical="center"/>
      <protection locked="0"/>
    </xf>
    <xf numFmtId="0" fontId="17" fillId="32" borderId="0" xfId="0" applyFont="1" applyFill="1" applyAlignment="1" applyProtection="1">
      <alignment horizontal="center" vertical="center"/>
      <protection locked="0"/>
    </xf>
    <xf numFmtId="167" fontId="35" fillId="11" borderId="58" xfId="0" applyNumberFormat="1" applyFont="1" applyFill="1" applyBorder="1" applyAlignment="1">
      <alignment horizontal="center" vertical="center"/>
    </xf>
    <xf numFmtId="167" fontId="35" fillId="11" borderId="59" xfId="0" applyNumberFormat="1" applyFont="1" applyFill="1" applyBorder="1" applyAlignment="1">
      <alignment horizontal="center" vertical="center"/>
    </xf>
    <xf numFmtId="167" fontId="35" fillId="11" borderId="60" xfId="0" applyNumberFormat="1" applyFont="1" applyFill="1" applyBorder="1" applyAlignment="1">
      <alignment horizontal="center" vertical="center"/>
    </xf>
    <xf numFmtId="0" fontId="0" fillId="31" borderId="2" xfId="0" applyFill="1" applyBorder="1" applyAlignment="1">
      <alignment horizontal="center" vertical="center" wrapText="1"/>
    </xf>
    <xf numFmtId="0" fontId="17" fillId="14" borderId="2" xfId="0" applyFont="1" applyFill="1" applyBorder="1" applyAlignment="1">
      <alignment horizontal="center" vertical="center"/>
    </xf>
    <xf numFmtId="0" fontId="30" fillId="34" borderId="2" xfId="0" applyFont="1" applyFill="1" applyBorder="1" applyAlignment="1" applyProtection="1">
      <alignment horizontal="center" vertical="center" wrapText="1"/>
      <protection locked="0"/>
    </xf>
    <xf numFmtId="0" fontId="17" fillId="31" borderId="2" xfId="0" applyFont="1" applyFill="1" applyBorder="1" applyAlignment="1" applyProtection="1">
      <alignment horizontal="center" vertical="center" wrapText="1"/>
      <protection locked="0"/>
    </xf>
    <xf numFmtId="0" fontId="18" fillId="10" borderId="2" xfId="0" applyFont="1" applyFill="1" applyBorder="1" applyAlignment="1">
      <alignment horizontal="center" vertical="center"/>
    </xf>
    <xf numFmtId="0" fontId="31" fillId="32" borderId="2" xfId="0" applyFont="1" applyFill="1" applyBorder="1" applyAlignment="1">
      <alignment horizontal="center" vertical="center"/>
    </xf>
    <xf numFmtId="0" fontId="17" fillId="0" borderId="2" xfId="0" applyFont="1" applyBorder="1" applyAlignment="1" applyProtection="1">
      <alignment horizontal="left" vertical="center" wrapText="1"/>
      <protection locked="0"/>
    </xf>
    <xf numFmtId="0" fontId="18" fillId="35" borderId="2" xfId="0" applyFont="1" applyFill="1" applyBorder="1" applyAlignment="1">
      <alignment horizontal="center" vertical="center"/>
    </xf>
    <xf numFmtId="0" fontId="16" fillId="31" borderId="2" xfId="0" applyFont="1" applyFill="1" applyBorder="1" applyAlignment="1">
      <alignment horizontal="left" vertical="center" wrapText="1"/>
    </xf>
    <xf numFmtId="0" fontId="36" fillId="24" borderId="6" xfId="0" applyFont="1" applyFill="1" applyBorder="1" applyAlignment="1">
      <alignment horizontal="center" vertical="center" wrapText="1"/>
    </xf>
    <xf numFmtId="0" fontId="36" fillId="24" borderId="3" xfId="0" applyFont="1" applyFill="1" applyBorder="1" applyAlignment="1">
      <alignment horizontal="center" vertical="center" wrapText="1"/>
    </xf>
    <xf numFmtId="0" fontId="17" fillId="43" borderId="0" xfId="0" applyFont="1" applyFill="1" applyAlignment="1">
      <alignment horizontal="right" vertical="center" wrapText="1"/>
    </xf>
    <xf numFmtId="0" fontId="17" fillId="43" borderId="0" xfId="0" applyFont="1" applyFill="1" applyAlignment="1">
      <alignment horizontal="center" vertical="center" wrapText="1"/>
    </xf>
    <xf numFmtId="0" fontId="20" fillId="12" borderId="4" xfId="0" applyFont="1" applyFill="1" applyBorder="1" applyAlignment="1">
      <alignment horizontal="center" vertical="center" wrapText="1"/>
    </xf>
    <xf numFmtId="0" fontId="30" fillId="10" borderId="11" xfId="0" applyFont="1" applyFill="1" applyBorder="1" applyAlignment="1" applyProtection="1">
      <alignment horizontal="center" vertical="center"/>
      <protection locked="0"/>
    </xf>
    <xf numFmtId="0" fontId="17" fillId="14" borderId="6" xfId="0" applyFont="1" applyFill="1" applyBorder="1" applyAlignment="1">
      <alignment horizontal="center" vertical="center" wrapText="1"/>
    </xf>
    <xf numFmtId="0" fontId="30" fillId="34" borderId="7" xfId="0" applyFont="1" applyFill="1" applyBorder="1" applyAlignment="1" applyProtection="1">
      <alignment horizontal="center" vertical="center" wrapText="1"/>
      <protection locked="0"/>
    </xf>
    <xf numFmtId="0" fontId="16" fillId="36" borderId="0" xfId="0" applyFont="1" applyFill="1" applyAlignment="1">
      <alignment horizontal="center" vertical="center" wrapText="1"/>
    </xf>
    <xf numFmtId="0" fontId="16" fillId="31" borderId="0" xfId="0" applyFont="1" applyFill="1" applyAlignment="1">
      <alignment horizontal="center" vertical="center" wrapText="1"/>
    </xf>
    <xf numFmtId="0" fontId="17" fillId="31" borderId="7" xfId="0" applyFont="1" applyFill="1" applyBorder="1" applyAlignment="1" applyProtection="1">
      <alignment horizontal="center" vertical="center" wrapText="1"/>
      <protection locked="0"/>
    </xf>
    <xf numFmtId="0" fontId="16" fillId="15" borderId="0" xfId="0" applyFont="1" applyFill="1" applyAlignment="1">
      <alignment horizontal="center" vertical="center" wrapText="1"/>
    </xf>
    <xf numFmtId="0" fontId="50" fillId="35" borderId="6" xfId="0" applyFont="1" applyFill="1" applyBorder="1" applyAlignment="1">
      <alignment horizontal="right" vertical="center"/>
    </xf>
    <xf numFmtId="0" fontId="50" fillId="35" borderId="3" xfId="0" applyFont="1" applyFill="1" applyBorder="1" applyAlignment="1">
      <alignment horizontal="right" vertical="center"/>
    </xf>
    <xf numFmtId="0" fontId="50" fillId="35" borderId="13" xfId="0" applyFont="1" applyFill="1" applyBorder="1" applyAlignment="1">
      <alignment horizontal="right" vertical="center"/>
    </xf>
    <xf numFmtId="0" fontId="16" fillId="31" borderId="0" xfId="0" applyFont="1" applyFill="1" applyAlignment="1">
      <alignment horizontal="left" vertical="center" wrapText="1"/>
    </xf>
    <xf numFmtId="0" fontId="50" fillId="35" borderId="2" xfId="0" applyFont="1" applyFill="1" applyBorder="1" applyAlignment="1">
      <alignment horizontal="center" vertical="center"/>
    </xf>
    <xf numFmtId="0" fontId="50" fillId="35" borderId="12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5" fillId="12" borderId="2" xfId="0" applyFont="1" applyFill="1" applyBorder="1" applyAlignment="1">
      <alignment horizontal="center" vertical="center"/>
    </xf>
    <xf numFmtId="0" fontId="48" fillId="31" borderId="7" xfId="0" applyFont="1" applyFill="1" applyBorder="1" applyAlignment="1">
      <alignment horizontal="center" vertical="center" wrapText="1"/>
    </xf>
    <xf numFmtId="0" fontId="16" fillId="31" borderId="7" xfId="0" applyFont="1" applyFill="1" applyBorder="1" applyAlignment="1">
      <alignment horizontal="center" vertical="center" wrapText="1"/>
    </xf>
    <xf numFmtId="0" fontId="30" fillId="12" borderId="2" xfId="0" applyFont="1" applyFill="1" applyBorder="1" applyAlignment="1">
      <alignment horizontal="center" vertical="center" wrapText="1"/>
    </xf>
    <xf numFmtId="0" fontId="20" fillId="10" borderId="0" xfId="0" applyFont="1" applyFill="1" applyAlignment="1">
      <alignment horizontal="left" vertical="center" wrapText="1"/>
    </xf>
    <xf numFmtId="0" fontId="30" fillId="10" borderId="7" xfId="0" applyFont="1" applyFill="1" applyBorder="1" applyAlignment="1" applyProtection="1">
      <alignment horizontal="center" vertical="center"/>
      <protection locked="0"/>
    </xf>
    <xf numFmtId="0" fontId="30" fillId="10" borderId="0" xfId="0" applyFont="1" applyFill="1" applyAlignment="1" applyProtection="1">
      <alignment horizontal="center" vertical="center"/>
      <protection locked="0"/>
    </xf>
    <xf numFmtId="0" fontId="31" fillId="32" borderId="0" xfId="0" applyFont="1" applyFill="1" applyAlignment="1">
      <alignment horizontal="center" vertical="center"/>
    </xf>
    <xf numFmtId="0" fontId="17" fillId="15" borderId="0" xfId="0" applyFont="1" applyFill="1" applyAlignment="1">
      <alignment horizontal="center" vertical="center"/>
    </xf>
  </cellXfs>
  <cellStyles count="34">
    <cellStyle name="Accent 1 5" xfId="2"/>
    <cellStyle name="Accent 2 6" xfId="3"/>
    <cellStyle name="Accent 3 7" xfId="4"/>
    <cellStyle name="Accent 4" xfId="5"/>
    <cellStyle name="Bad 8" xfId="6"/>
    <cellStyle name="Error 9" xfId="7"/>
    <cellStyle name="Excel Built-in Currency 10" xfId="26"/>
    <cellStyle name="Excel Built-in Excel Built-in Excel Built-in Excel Built-in Excel Built-in Excel Built-in Excel Built-in Excel Built-in 20% - Accent1" xfId="25"/>
    <cellStyle name="Footnote 11" xfId="8"/>
    <cellStyle name="Good 12" xfId="9"/>
    <cellStyle name="Heading (user) 13" xfId="10"/>
    <cellStyle name="Heading 1 14" xfId="11"/>
    <cellStyle name="Heading 2 15" xfId="12"/>
    <cellStyle name="Hyperlink 16" xfId="13"/>
    <cellStyle name="Moeda 2" xfId="14"/>
    <cellStyle name="Moeda 3" xfId="28"/>
    <cellStyle name="Neutral 17" xfId="15"/>
    <cellStyle name="Normal" xfId="0" builtinId="0"/>
    <cellStyle name="Normal 2" xfId="16"/>
    <cellStyle name="Normal 3" xfId="17"/>
    <cellStyle name="Normal 3 2" xfId="29"/>
    <cellStyle name="Normal 4" xfId="18"/>
    <cellStyle name="Normal 5" xfId="27"/>
    <cellStyle name="Normal 6" xfId="30"/>
    <cellStyle name="Note 18" xfId="19"/>
    <cellStyle name="Porcentagem" xfId="1" builtinId="5"/>
    <cellStyle name="Porcentagem 2" xfId="20"/>
    <cellStyle name="Porcentagem 3" xfId="32"/>
    <cellStyle name="Porcentagem 4" xfId="33"/>
    <cellStyle name="Status 19" xfId="21"/>
    <cellStyle name="Text 20" xfId="22"/>
    <cellStyle name="Vírgula 2" xfId="23"/>
    <cellStyle name="Vírgula 2 2" xfId="31"/>
    <cellStyle name="Warning 21" xfId="2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66CC00"/>
      <rgbColor rgb="FF0000FF"/>
      <rgbColor rgb="FFFFFF00"/>
      <rgbColor rgb="FFFFCCFF"/>
      <rgbColor rgb="FF9DC3E6"/>
      <rgbColor rgb="FFC00000"/>
      <rgbColor rgb="FFCAFFA2"/>
      <rgbColor rgb="FF000080"/>
      <rgbColor rgb="FFB28200"/>
      <rgbColor rgb="FFFCE4D6"/>
      <rgbColor rgb="FF34689C"/>
      <rgbColor rgb="FFCCCCCC"/>
      <rgbColor rgb="FF808080"/>
      <rgbColor rgb="FF9999CC"/>
      <rgbColor rgb="FF8FAADC"/>
      <rgbColor rgb="FFFFFFCC"/>
      <rgbColor rgb="FFCCFFFF"/>
      <rgbColor rgb="FFE8F2A1"/>
      <rgbColor rgb="FFCC9966"/>
      <rgbColor rgb="FF0085E0"/>
      <rgbColor rgb="FFCCCCFF"/>
      <rgbColor rgb="FFFFF2CC"/>
      <rgbColor rgb="FFDAE2F3"/>
      <rgbColor rgb="FFFFFF66"/>
      <rgbColor rgb="FFB4C6E7"/>
      <rgbColor rgb="FFFFE699"/>
      <rgbColor rgb="FFCC0000"/>
      <rgbColor rgb="FF336699"/>
      <rgbColor rgb="FFE9EFE6"/>
      <rgbColor rgb="FF729FCF"/>
      <rgbColor rgb="FFCCECFF"/>
      <rgbColor rgb="FFCCFFCF"/>
      <rgbColor rgb="FFFFFF99"/>
      <rgbColor rgb="FF99CCFF"/>
      <rgbColor rgb="FFF6AF99"/>
      <rgbColor rgb="FFB7AFB7"/>
      <rgbColor rgb="FFFFCC99"/>
      <rgbColor rgb="FF3465A4"/>
      <rgbColor rgb="FF6C9ED8"/>
      <rgbColor rgb="FF81D41A"/>
      <rgbColor rgb="FFFFCC00"/>
      <rgbColor rgb="FF999966"/>
      <rgbColor rgb="FFC0CF94"/>
      <rgbColor rgb="FF666666"/>
      <rgbColor rgb="FF999999"/>
      <rgbColor rgb="FF1E4E73"/>
      <rgbColor rgb="FF669933"/>
      <rgbColor rgb="FF191919"/>
      <rgbColor rgb="FFCFE7F5"/>
      <rgbColor rgb="FFFFCCCC"/>
      <rgbColor rgb="FFF7CDCD"/>
      <rgbColor rgb="FF3333FF"/>
      <rgbColor rgb="FFDDDDDD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595959"/>
      <color rgb="FF9F7D5E"/>
      <color rgb="FFEAFAFF"/>
      <color rgb="FF757171"/>
      <color rgb="FFE9C7A6"/>
      <color rgb="FF0E2C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microsoft.com/office/2017/06/relationships/rdRichValueStructure" Target="richData/rdrichvaluestructure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microsoft.com/office/2017/06/relationships/rdRichValueTypes" Target="richData/rdRichValueTyp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eetMetadata" Target="metadata.xml"/><Relationship Id="rId10" Type="http://schemas.openxmlformats.org/officeDocument/2006/relationships/externalLink" Target="externalLinks/externalLink1.xml"/><Relationship Id="rId19" Type="http://schemas.microsoft.com/office/2017/06/relationships/rdRichValue" Target="richData/rdrichvalue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9885885\Anexo%20III%20-%20Planilha%20de%20custos%20e%20forma&#195;&#167;&#195;&#163;o%20de%20pre&#195;&#167;o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nss/Desktop/Planilhas/Vigil&#226;ncia/Anexo%20IV%20-%20G1%20-%20Planilha_estimativa_de_Precos%20SC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umos"/>
      <sheetName val="Custos Variáveis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dro Resumo"/>
      <sheetName val="Dados"/>
      <sheetName val="SC"/>
      <sheetName val="MC"/>
      <sheetName val="Insumos"/>
      <sheetName val="VT"/>
      <sheetName val="RS2-a"/>
      <sheetName val="RS2-b"/>
    </sheetNames>
    <sheetDataSet>
      <sheetData sheetId="0"/>
      <sheetData sheetId="1"/>
      <sheetData sheetId="2"/>
      <sheetData sheetId="3">
        <row r="70">
          <cell r="B70">
            <v>6.7900000000000002E-2</v>
          </cell>
        </row>
      </sheetData>
      <sheetData sheetId="4"/>
      <sheetData sheetId="5"/>
      <sheetData sheetId="6"/>
      <sheetData sheetId="7"/>
    </sheetDataSet>
  </externalBook>
</externalLink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2">
  <rv s="0">
    <v>9</v>
    <v>3</v>
  </rv>
  <rv s="1">
    <v>9</v>
    <v>1</v>
  </rv>
</rvData>
</file>

<file path=xl/richData/rdrichvaluestructure.xml><?xml version="1.0" encoding="utf-8"?>
<rvStructures xmlns="http://schemas.microsoft.com/office/spreadsheetml/2017/richdata" count="2">
  <s t="_error">
    <k n="errorType" t="i"/>
    <k n="subType" t="i"/>
  </s>
  <s t="_error">
    <k n="errorType" t="i"/>
    <k n="propagated" t="b"/>
  </s>
</rvStructure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Q223"/>
  <sheetViews>
    <sheetView tabSelected="1" zoomScaleNormal="100" workbookViewId="0">
      <pane xSplit="4" ySplit="7" topLeftCell="E8" activePane="bottomRight" state="frozen"/>
      <selection pane="topRight" activeCell="P1" sqref="P1"/>
      <selection pane="bottomLeft" activeCell="A8" sqref="A8"/>
      <selection pane="bottomRight" activeCell="AD27" sqref="AD27"/>
    </sheetView>
  </sheetViews>
  <sheetFormatPr defaultColWidth="10" defaultRowHeight="14.25"/>
  <cols>
    <col min="1" max="1" width="4.375" style="4" customWidth="1"/>
    <col min="2" max="2" width="33.875" style="2" customWidth="1"/>
    <col min="3" max="3" width="6.625" style="2" bestFit="1" customWidth="1"/>
    <col min="4" max="4" width="7.375" style="2" customWidth="1"/>
    <col min="5" max="5" width="15.125" style="2" customWidth="1"/>
    <col min="6" max="6" width="7.25" style="2" customWidth="1"/>
    <col min="7" max="7" width="12.625" style="2" customWidth="1"/>
    <col min="8" max="8" width="6.125" style="2" customWidth="1"/>
    <col min="9" max="9" width="9.5" style="2" bestFit="1" customWidth="1"/>
    <col min="10" max="10" width="7.25" style="2" customWidth="1"/>
    <col min="11" max="11" width="11.25" style="2" customWidth="1"/>
    <col min="12" max="12" width="8.5" style="2" customWidth="1"/>
    <col min="13" max="13" width="10.125" style="2" customWidth="1"/>
    <col min="14" max="14" width="8.5" style="2" customWidth="1"/>
    <col min="15" max="15" width="13.25" style="2" customWidth="1"/>
    <col min="16" max="16" width="8.5" style="2" customWidth="1"/>
    <col min="17" max="17" width="10.75" style="2" customWidth="1"/>
    <col min="18" max="18" width="8.5" style="2" customWidth="1"/>
    <col min="19" max="19" width="11.75" style="2" customWidth="1"/>
    <col min="20" max="20" width="6.25" style="2" customWidth="1"/>
    <col min="21" max="21" width="10.125" style="2" customWidth="1"/>
    <col min="22" max="22" width="6.875" style="2" customWidth="1"/>
    <col min="23" max="23" width="10" style="2"/>
    <col min="24" max="24" width="5.125" style="2" customWidth="1"/>
    <col min="25" max="25" width="8.875" style="2" customWidth="1"/>
    <col min="26" max="26" width="8.375" style="2" customWidth="1"/>
    <col min="27" max="27" width="11.5" style="2" bestFit="1" customWidth="1"/>
    <col min="28" max="28" width="8.625" style="2" customWidth="1"/>
    <col min="29" max="29" width="12.75" style="2" customWidth="1"/>
    <col min="30" max="30" width="9.5" style="2" customWidth="1"/>
    <col min="31" max="32" width="10" style="2"/>
    <col min="33" max="33" width="13.625" style="2" customWidth="1"/>
    <col min="34" max="1023" width="10" style="2"/>
  </cols>
  <sheetData>
    <row r="1" spans="1:1031" ht="24.4" customHeight="1">
      <c r="A1" s="457" t="s">
        <v>1</v>
      </c>
      <c r="B1" s="458"/>
      <c r="C1" s="458"/>
      <c r="D1" s="458"/>
      <c r="E1" s="458"/>
      <c r="F1" s="458"/>
      <c r="G1" s="458"/>
      <c r="H1" s="458"/>
      <c r="I1" s="458"/>
      <c r="J1" s="458"/>
      <c r="K1" s="458"/>
      <c r="L1" s="458"/>
      <c r="M1" s="458"/>
      <c r="N1" s="458"/>
      <c r="O1" s="458"/>
      <c r="P1" s="458"/>
      <c r="Q1" s="458"/>
      <c r="R1" s="458"/>
      <c r="S1" s="458"/>
      <c r="T1" s="458"/>
      <c r="U1" s="458"/>
      <c r="V1" s="458"/>
      <c r="W1" s="458"/>
      <c r="X1" s="458"/>
      <c r="Y1" s="458"/>
      <c r="Z1" s="458"/>
      <c r="AA1" s="458"/>
      <c r="AB1" s="458"/>
      <c r="AC1" s="458"/>
      <c r="AD1" s="458"/>
      <c r="AE1" s="458"/>
      <c r="AF1" s="458"/>
      <c r="AG1" s="458"/>
    </row>
    <row r="2" spans="1:1031" ht="12.75" customHeight="1">
      <c r="A2" s="453" t="s">
        <v>2</v>
      </c>
      <c r="B2" s="453"/>
      <c r="C2" s="453"/>
      <c r="D2" s="453"/>
      <c r="E2" s="453"/>
      <c r="F2" s="453"/>
      <c r="G2" s="453"/>
      <c r="H2" s="453"/>
      <c r="I2" s="453"/>
      <c r="J2" s="453"/>
      <c r="K2" s="453"/>
      <c r="L2" s="453"/>
      <c r="M2" s="453"/>
      <c r="N2" s="453"/>
      <c r="O2" s="453"/>
      <c r="P2" s="453"/>
      <c r="Q2" s="453"/>
      <c r="R2" s="453"/>
      <c r="S2" s="453"/>
      <c r="T2" s="453"/>
      <c r="U2" s="453"/>
      <c r="V2" s="453"/>
      <c r="W2" s="453"/>
      <c r="X2" s="453"/>
      <c r="Y2" s="453"/>
      <c r="Z2" s="453"/>
      <c r="AA2" s="453"/>
      <c r="AB2" s="453"/>
      <c r="AC2" s="453"/>
      <c r="AD2" s="453"/>
      <c r="AE2" s="453"/>
      <c r="AF2" s="453"/>
      <c r="AG2" s="453"/>
    </row>
    <row r="3" spans="1:1031" ht="12.75" customHeight="1">
      <c r="A3" s="453" t="s">
        <v>3</v>
      </c>
      <c r="B3" s="453"/>
      <c r="C3" s="453"/>
      <c r="D3" s="453"/>
      <c r="E3" s="453"/>
      <c r="F3" s="453"/>
      <c r="G3" s="453"/>
      <c r="H3" s="453"/>
      <c r="I3" s="453"/>
      <c r="J3" s="453"/>
      <c r="K3" s="453"/>
      <c r="L3" s="453"/>
      <c r="M3" s="453"/>
      <c r="N3" s="453"/>
      <c r="O3" s="453"/>
      <c r="P3" s="453"/>
      <c r="Q3" s="453"/>
      <c r="R3" s="453"/>
      <c r="S3" s="453"/>
      <c r="T3" s="453"/>
      <c r="U3" s="453"/>
      <c r="V3" s="453"/>
      <c r="W3" s="453"/>
      <c r="X3" s="453"/>
      <c r="Y3" s="453"/>
      <c r="Z3" s="453"/>
      <c r="AA3" s="453"/>
      <c r="AB3" s="453"/>
      <c r="AC3" s="453"/>
      <c r="AD3" s="453"/>
      <c r="AE3" s="453"/>
      <c r="AF3" s="453"/>
      <c r="AG3" s="453"/>
    </row>
    <row r="4" spans="1:1031" ht="24.4" customHeight="1">
      <c r="A4" s="459" t="s">
        <v>4</v>
      </c>
      <c r="B4" s="460"/>
      <c r="C4" s="460"/>
      <c r="D4" s="460"/>
      <c r="E4" s="460"/>
      <c r="F4" s="460"/>
      <c r="G4" s="460"/>
      <c r="H4" s="460"/>
      <c r="I4" s="460"/>
      <c r="J4" s="460"/>
      <c r="K4" s="460"/>
      <c r="L4" s="460"/>
      <c r="M4" s="460"/>
      <c r="N4" s="460"/>
      <c r="O4" s="460"/>
      <c r="P4" s="460"/>
      <c r="Q4" s="460"/>
      <c r="R4" s="460"/>
      <c r="S4" s="460"/>
      <c r="T4" s="460"/>
      <c r="U4" s="460"/>
      <c r="V4" s="460"/>
      <c r="W4" s="460"/>
      <c r="X4" s="460"/>
      <c r="Y4" s="460"/>
      <c r="Z4" s="460"/>
      <c r="AA4" s="460"/>
      <c r="AB4" s="460"/>
      <c r="AC4" s="460"/>
      <c r="AD4" s="460"/>
      <c r="AE4" s="460"/>
      <c r="AF4" s="460"/>
      <c r="AG4" s="460"/>
    </row>
    <row r="5" spans="1:1031" ht="14.65" customHeight="1">
      <c r="A5" s="380"/>
      <c r="B5" s="380"/>
      <c r="C5" s="380"/>
      <c r="D5" s="380"/>
      <c r="E5" s="474" t="s">
        <v>5</v>
      </c>
      <c r="F5" s="474"/>
      <c r="G5" s="468" t="s">
        <v>6</v>
      </c>
      <c r="H5" s="468"/>
      <c r="I5" s="468"/>
      <c r="J5" s="468"/>
      <c r="K5" s="468" t="s">
        <v>7</v>
      </c>
      <c r="L5" s="468"/>
      <c r="M5" s="468"/>
      <c r="N5" s="468"/>
      <c r="O5" s="475" t="s">
        <v>8</v>
      </c>
      <c r="P5" s="475"/>
      <c r="Q5" s="475"/>
      <c r="R5" s="475"/>
      <c r="S5" s="465" t="s">
        <v>9</v>
      </c>
      <c r="T5" s="465"/>
      <c r="U5" s="465"/>
      <c r="V5" s="465"/>
      <c r="W5" s="382"/>
      <c r="X5" s="382"/>
      <c r="Y5" s="463" t="s">
        <v>10</v>
      </c>
      <c r="Z5" s="464"/>
      <c r="AA5" s="464"/>
      <c r="AB5" s="464"/>
      <c r="AC5" s="379">
        <v>0.7</v>
      </c>
      <c r="AD5" s="381"/>
      <c r="AE5" s="383"/>
      <c r="AMJ5" s="2"/>
      <c r="AMK5" s="2"/>
      <c r="AML5" s="2"/>
      <c r="AMM5" s="2"/>
    </row>
    <row r="6" spans="1:1031" ht="14.65" customHeight="1">
      <c r="A6" s="5"/>
      <c r="B6" s="6"/>
      <c r="C6" s="6"/>
      <c r="D6" s="6"/>
      <c r="E6" s="474"/>
      <c r="F6" s="474"/>
      <c r="G6" s="469"/>
      <c r="H6" s="469"/>
      <c r="I6" s="469"/>
      <c r="J6" s="469"/>
      <c r="K6" s="469"/>
      <c r="L6" s="469"/>
      <c r="M6" s="469"/>
      <c r="N6" s="469"/>
      <c r="O6" s="476"/>
      <c r="P6" s="476"/>
      <c r="Q6" s="476"/>
      <c r="R6" s="476"/>
      <c r="S6" s="466"/>
      <c r="T6" s="466"/>
      <c r="U6" s="466"/>
      <c r="V6" s="466"/>
      <c r="W6" s="472" t="s">
        <v>11</v>
      </c>
      <c r="X6" s="472"/>
      <c r="Y6" s="467" t="s">
        <v>12</v>
      </c>
      <c r="Z6" s="467"/>
      <c r="AA6" s="467" t="s">
        <v>13</v>
      </c>
      <c r="AB6" s="467"/>
      <c r="AC6" s="467" t="s">
        <v>14</v>
      </c>
      <c r="AD6" s="467"/>
      <c r="AE6" s="454" t="s">
        <v>15</v>
      </c>
      <c r="AF6" s="454"/>
      <c r="AMJ6" s="2"/>
      <c r="AMK6" s="2"/>
      <c r="AML6" s="2"/>
      <c r="AMM6" s="2"/>
      <c r="AMN6" s="2"/>
      <c r="AMO6" s="2"/>
    </row>
    <row r="7" spans="1:1031" s="16" customFormat="1" ht="25.35" customHeight="1">
      <c r="A7" s="7" t="s">
        <v>16</v>
      </c>
      <c r="B7" s="7" t="s">
        <v>17</v>
      </c>
      <c r="C7" s="7" t="s">
        <v>18</v>
      </c>
      <c r="D7" s="8" t="s">
        <v>19</v>
      </c>
      <c r="E7" s="9" t="s">
        <v>20</v>
      </c>
      <c r="F7" s="10" t="s">
        <v>21</v>
      </c>
      <c r="G7" s="11" t="s">
        <v>22</v>
      </c>
      <c r="H7" s="12" t="s">
        <v>21</v>
      </c>
      <c r="I7" s="12" t="s">
        <v>23</v>
      </c>
      <c r="J7" s="12" t="s">
        <v>24</v>
      </c>
      <c r="K7" s="11" t="s">
        <v>22</v>
      </c>
      <c r="L7" s="12" t="s">
        <v>21</v>
      </c>
      <c r="M7" s="12" t="s">
        <v>23</v>
      </c>
      <c r="N7" s="12" t="s">
        <v>24</v>
      </c>
      <c r="O7" s="445" t="s">
        <v>22</v>
      </c>
      <c r="P7" s="446" t="s">
        <v>21</v>
      </c>
      <c r="Q7" s="446" t="s">
        <v>23</v>
      </c>
      <c r="R7" s="446" t="s">
        <v>24</v>
      </c>
      <c r="S7" s="439" t="s">
        <v>25</v>
      </c>
      <c r="T7" s="439" t="s">
        <v>21</v>
      </c>
      <c r="U7" s="439" t="s">
        <v>23</v>
      </c>
      <c r="V7" s="439" t="s">
        <v>24</v>
      </c>
      <c r="W7" s="13" t="s">
        <v>26</v>
      </c>
      <c r="X7" s="13" t="s">
        <v>21</v>
      </c>
      <c r="Y7" s="10" t="s">
        <v>27</v>
      </c>
      <c r="Z7" s="10" t="s">
        <v>21</v>
      </c>
      <c r="AA7" s="10" t="s">
        <v>27</v>
      </c>
      <c r="AB7" s="10" t="s">
        <v>21</v>
      </c>
      <c r="AC7" s="10" t="s">
        <v>27</v>
      </c>
      <c r="AD7" s="10" t="s">
        <v>21</v>
      </c>
      <c r="AE7" s="14" t="s">
        <v>28</v>
      </c>
      <c r="AF7" s="14" t="s">
        <v>21</v>
      </c>
      <c r="AG7" s="15" t="s">
        <v>29</v>
      </c>
    </row>
    <row r="8" spans="1:1031" ht="14.65" customHeight="1">
      <c r="A8" s="17">
        <f>'Informações e Quantidades'!A8</f>
        <v>1</v>
      </c>
      <c r="B8" s="18" t="str">
        <f>'Informações e Quantidades'!B8</f>
        <v>SUPERINTENDÊNCIA REGIONAL FLORIANÓPOLIS</v>
      </c>
      <c r="C8" s="320" t="s">
        <v>30</v>
      </c>
      <c r="D8" s="231">
        <f>'Informações e Quantidades'!D8</f>
        <v>0.02</v>
      </c>
      <c r="E8" s="20">
        <f>'SC '!D121</f>
        <v>5972.864460938933</v>
      </c>
      <c r="F8" s="230">
        <f>'Informações e Quantidades'!E8+'Informações e Quantidades'!F8</f>
        <v>1</v>
      </c>
      <c r="G8" s="21">
        <f>'Veículos - Custo Fixo'!C38</f>
        <v>2744.38</v>
      </c>
      <c r="H8" s="22">
        <f>'Informações e Quantidades'!G8</f>
        <v>1</v>
      </c>
      <c r="I8" s="23">
        <f>'Veículos - Custo Variável'!C44</f>
        <v>0.8175</v>
      </c>
      <c r="J8" s="22">
        <f>'Informações e Quantidades'!J8*H8</f>
        <v>4000</v>
      </c>
      <c r="K8" s="21">
        <f>'Veículos - Custo Fixo'!D38</f>
        <v>3920.21</v>
      </c>
      <c r="L8" s="22">
        <f>'Informações e Quantidades'!H8</f>
        <v>1</v>
      </c>
      <c r="M8" s="23">
        <f>'Veículos - Custo Variável'!D44</f>
        <v>0.98270000000000002</v>
      </c>
      <c r="N8" s="22">
        <f>'Informações e Quantidades'!J8*L8</f>
        <v>4000</v>
      </c>
      <c r="O8" s="447">
        <f>'Veículos - Custo Fixo'!H38</f>
        <v>0</v>
      </c>
      <c r="P8" s="448">
        <v>0</v>
      </c>
      <c r="Q8" s="449">
        <f>'Veículos - Custo Variável'!H44</f>
        <v>0</v>
      </c>
      <c r="R8" s="448">
        <f>'Informações e Quantidades'!J8*P8</f>
        <v>0</v>
      </c>
      <c r="S8" s="441">
        <f>'Veículos - Custo Fixo'!F38</f>
        <v>1353.3</v>
      </c>
      <c r="T8" s="440">
        <f>'Informações e Quantidades'!K8</f>
        <v>5</v>
      </c>
      <c r="U8" s="442">
        <f>'Veículos - Custo Variável'!F44</f>
        <v>1.0472999999999999</v>
      </c>
      <c r="V8" s="440">
        <f>'Informações e Quantidades'!L8*'Formação de Preços'!T8</f>
        <v>3500</v>
      </c>
      <c r="W8" s="24">
        <f>'Ajuda de Custo'!D39</f>
        <v>220.75251722310546</v>
      </c>
      <c r="X8" s="25">
        <f>'Informações e Quantidades'!M8</f>
        <v>15</v>
      </c>
      <c r="Y8" s="26">
        <f>'SC '!D121/220*(1+AC$5)</f>
        <v>46.153952652709933</v>
      </c>
      <c r="Z8" s="27">
        <f>'Informações e Quantidades'!N8</f>
        <v>20</v>
      </c>
      <c r="AA8" s="26">
        <f>'SC '!D121/220*(1+AC$5)</f>
        <v>46.153952652709933</v>
      </c>
      <c r="AB8" s="27">
        <f>'Informações e Quantidades'!O8</f>
        <v>10</v>
      </c>
      <c r="AC8" s="26">
        <f>'SC '!C121/220*(1+AC$5)</f>
        <v>39.591568865035406</v>
      </c>
      <c r="AD8" s="27">
        <f>'Informações e Quantidades'!P8</f>
        <v>10</v>
      </c>
      <c r="AE8" s="28">
        <f>'Combustíveis e Pedágios'!C16</f>
        <v>5.05</v>
      </c>
      <c r="AF8" s="29">
        <f>'Informações e Quantidades'!Q8</f>
        <v>54</v>
      </c>
      <c r="AG8" s="30">
        <f>(E8*F8)+(G8*H8)+(I8*J8)+(K8*L8)+(M8*N8)+(O8*P8)+(Q8*R8)+(S8*T8)+(U8*V8)+(W8*X8)+(Y8*Z8)+(AA8*AB8)+(AC8*AD8)+(AE8*AF8)</f>
        <v>35634.826487517166</v>
      </c>
      <c r="AH8" s="31"/>
      <c r="AMJ8" s="2"/>
      <c r="AMK8" s="2"/>
      <c r="AML8" s="2"/>
      <c r="AMM8" s="2"/>
      <c r="AMN8" s="2"/>
      <c r="AMO8" s="2"/>
      <c r="AMP8" s="2"/>
      <c r="AMQ8" s="2"/>
    </row>
    <row r="9" spans="1:1031" ht="14.65" customHeight="1">
      <c r="A9" s="17">
        <f>'Informações e Quantidades'!A9</f>
        <v>2</v>
      </c>
      <c r="B9" s="18" t="str">
        <f>'Informações e Quantidades'!B9</f>
        <v>GERÊNCIA EXECUTIVA FLORIANÓPOLIS</v>
      </c>
      <c r="C9" s="320" t="s">
        <v>30</v>
      </c>
      <c r="D9" s="231">
        <f>'Informações e Quantidades'!D9</f>
        <v>0.02</v>
      </c>
      <c r="E9" s="20">
        <f>'SC '!D121</f>
        <v>5972.864460938933</v>
      </c>
      <c r="F9" s="230">
        <f>'Informações e Quantidades'!E9+'Informações e Quantidades'!F9</f>
        <v>1</v>
      </c>
      <c r="G9" s="21">
        <f>'Veículos - Custo Fixo'!C38</f>
        <v>2744.38</v>
      </c>
      <c r="H9" s="22">
        <f>'Informações e Quantidades'!G9</f>
        <v>1</v>
      </c>
      <c r="I9" s="23">
        <f>'Veículos - Custo Variável'!C44</f>
        <v>0.8175</v>
      </c>
      <c r="J9" s="22">
        <f>'Informações e Quantidades'!J9*H9</f>
        <v>3000</v>
      </c>
      <c r="K9" s="21">
        <v>0</v>
      </c>
      <c r="L9" s="22">
        <f>'Informações e Quantidades'!H9</f>
        <v>0</v>
      </c>
      <c r="M9" s="22">
        <v>0</v>
      </c>
      <c r="N9" s="22">
        <f>'Informações e Quantidades'!J9*L9</f>
        <v>0</v>
      </c>
      <c r="O9" s="447">
        <v>0</v>
      </c>
      <c r="P9" s="448">
        <v>0</v>
      </c>
      <c r="Q9" s="449">
        <f>'Veículos - Custo Variável'!H45</f>
        <v>0</v>
      </c>
      <c r="R9" s="448">
        <f>'Informações e Quantidades'!J9*P9</f>
        <v>0</v>
      </c>
      <c r="S9" s="441">
        <f>'Veículos - Custo Fixo'!F38</f>
        <v>1353.3</v>
      </c>
      <c r="T9" s="440">
        <f>'Informações e Quantidades'!K9</f>
        <v>2</v>
      </c>
      <c r="U9" s="442">
        <f>'Veículos - Custo Variável'!F44</f>
        <v>1.0472999999999999</v>
      </c>
      <c r="V9" s="440">
        <f>'Informações e Quantidades'!L9*'Formação de Preços'!T9</f>
        <v>1400</v>
      </c>
      <c r="W9" s="24">
        <f>'Ajuda de Custo'!D39</f>
        <v>220.75251722310546</v>
      </c>
      <c r="X9" s="25">
        <f>'Informações e Quantidades'!M9</f>
        <v>9</v>
      </c>
      <c r="Y9" s="26">
        <f>'SC '!D121/220*(1+AC$5)</f>
        <v>46.153952652709933</v>
      </c>
      <c r="Z9" s="27">
        <v>20</v>
      </c>
      <c r="AA9" s="26">
        <f>'SC '!D121/220*(1+AC$5)</f>
        <v>46.153952652709933</v>
      </c>
      <c r="AB9" s="27">
        <f>'Informações e Quantidades'!O9</f>
        <v>4</v>
      </c>
      <c r="AC9" s="26">
        <f>'SC '!C121/220*(1+AC$5)</f>
        <v>39.591568865035406</v>
      </c>
      <c r="AD9" s="27">
        <f>'Informações e Quantidades'!P9</f>
        <v>4</v>
      </c>
      <c r="AE9" s="28">
        <f>AE8</f>
        <v>5.05</v>
      </c>
      <c r="AF9" s="29">
        <f>'Informações e Quantidades'!Q9</f>
        <v>26</v>
      </c>
      <c r="AG9" s="30">
        <f t="shared" ref="AG9:AG13" si="0">(E9*F9)+(G9*H9)+(I9*J9)+(K9*L9)+(M9*N9)+(O9*P9)+(Q9*R9)+(S9*T9)+(U9*V9)+(W9*X9)+(Y9*Z9)+(AA9*AB9)+(AC9*AD9)+(AE9*AF9)</f>
        <v>18726.698255072064</v>
      </c>
      <c r="AH9" s="31"/>
      <c r="AMJ9" s="2"/>
      <c r="AMK9" s="2"/>
      <c r="AML9" s="2"/>
      <c r="AMM9" s="2"/>
      <c r="AMN9" s="2"/>
      <c r="AMO9" s="2"/>
      <c r="AMP9" s="2"/>
      <c r="AMQ9" s="2"/>
    </row>
    <row r="10" spans="1:1031" ht="14.65" customHeight="1">
      <c r="A10" s="17">
        <f>'Informações e Quantidades'!A10</f>
        <v>3</v>
      </c>
      <c r="B10" s="18" t="str">
        <f>'Informações e Quantidades'!B10</f>
        <v>GERÊNCIA EXECUTIVA CHAPECÓ</v>
      </c>
      <c r="C10" s="320" t="s">
        <v>31</v>
      </c>
      <c r="D10" s="231">
        <f>'Informações e Quantidades'!D10</f>
        <v>0.03</v>
      </c>
      <c r="E10" s="20">
        <f>'SC '!D122</f>
        <v>6036.8480116720766</v>
      </c>
      <c r="F10" s="230">
        <f>'Informações e Quantidades'!E10+'Informações e Quantidades'!F10</f>
        <v>1</v>
      </c>
      <c r="G10" s="21">
        <v>0</v>
      </c>
      <c r="H10" s="22">
        <f>'Informações e Quantidades'!G10</f>
        <v>0</v>
      </c>
      <c r="I10" s="23">
        <v>0</v>
      </c>
      <c r="J10" s="22">
        <f>'Informações e Quantidades'!J10*H10</f>
        <v>0</v>
      </c>
      <c r="K10" s="21">
        <v>0</v>
      </c>
      <c r="L10" s="22">
        <f>'Informações e Quantidades'!H10</f>
        <v>0</v>
      </c>
      <c r="M10" s="22">
        <v>0</v>
      </c>
      <c r="N10" s="22">
        <f>'Informações e Quantidades'!J10*L10</f>
        <v>0</v>
      </c>
      <c r="O10" s="447">
        <f>'Veículos - Custo Fixo'!E39</f>
        <v>6350.79</v>
      </c>
      <c r="P10" s="448">
        <f>'Informações e Quantidades'!I14</f>
        <v>1</v>
      </c>
      <c r="Q10" s="449">
        <f>'Veículos - Custo Variável'!E45</f>
        <v>1.3937999999999999</v>
      </c>
      <c r="R10" s="448">
        <f>'Informações e Quantidades'!J10*P10</f>
        <v>4000</v>
      </c>
      <c r="S10" s="441">
        <v>0</v>
      </c>
      <c r="T10" s="440">
        <f>'Informações e Quantidades'!K10</f>
        <v>0</v>
      </c>
      <c r="U10" s="442">
        <v>0</v>
      </c>
      <c r="V10" s="440">
        <f>'Informações e Quantidades'!L10*'Formação de Preços'!T10</f>
        <v>0</v>
      </c>
      <c r="W10" s="24">
        <f>'Ajuda de Custo'!D40</f>
        <v>223.11730048205678</v>
      </c>
      <c r="X10" s="25">
        <f>'Informações e Quantidades'!M10</f>
        <v>5</v>
      </c>
      <c r="Y10" s="26">
        <f>'SC '!D122/220*(1+AC$5)</f>
        <v>46.648370999284225</v>
      </c>
      <c r="Z10" s="27">
        <f>'Informações e Quantidades'!N10</f>
        <v>20</v>
      </c>
      <c r="AA10" s="26">
        <v>0</v>
      </c>
      <c r="AB10" s="27">
        <f>'Informações e Quantidades'!O10</f>
        <v>0</v>
      </c>
      <c r="AC10" s="26">
        <v>0</v>
      </c>
      <c r="AD10" s="27">
        <f>'Informações e Quantidades'!P10</f>
        <v>0</v>
      </c>
      <c r="AE10" s="28">
        <f>AE8</f>
        <v>5.05</v>
      </c>
      <c r="AF10" s="29">
        <f>'Informações e Quantidades'!Q10</f>
        <v>22</v>
      </c>
      <c r="AG10" s="30">
        <f t="shared" si="0"/>
        <v>20122.491934068043</v>
      </c>
      <c r="AH10" s="32"/>
      <c r="AMJ10" s="2"/>
      <c r="AMK10" s="2"/>
      <c r="AML10" s="2"/>
      <c r="AMM10" s="2"/>
      <c r="AMN10" s="2"/>
      <c r="AMO10" s="2"/>
      <c r="AMP10" s="2"/>
      <c r="AMQ10" s="2"/>
    </row>
    <row r="11" spans="1:1031" ht="14.65" customHeight="1">
      <c r="A11" s="17">
        <f>'Informações e Quantidades'!A11</f>
        <v>4</v>
      </c>
      <c r="B11" s="18" t="str">
        <f>'Informações e Quantidades'!B11</f>
        <v>GERÊNCIA EXECUTIVA CRICIÚMA</v>
      </c>
      <c r="C11" s="320" t="s">
        <v>30</v>
      </c>
      <c r="D11" s="231">
        <f>'Informações e Quantidades'!D11</f>
        <v>0.05</v>
      </c>
      <c r="E11" s="20">
        <f>'SC '!D123</f>
        <v>6169.0176452062215</v>
      </c>
      <c r="F11" s="230">
        <f>'Informações e Quantidades'!E11+'Informações e Quantidades'!F11</f>
        <v>1</v>
      </c>
      <c r="G11" s="21">
        <f>'Veículos - Custo Fixo'!C40</f>
        <v>2834.51</v>
      </c>
      <c r="H11" s="22">
        <f>'Informações e Quantidades'!G11</f>
        <v>1</v>
      </c>
      <c r="I11" s="23">
        <f>'Veículos - Custo Variável'!C46</f>
        <v>0.84430000000000005</v>
      </c>
      <c r="J11" s="22">
        <f>'Informações e Quantidades'!J11*H11</f>
        <v>3000</v>
      </c>
      <c r="K11" s="21">
        <v>0</v>
      </c>
      <c r="L11" s="22">
        <f>'Informações e Quantidades'!H11</f>
        <v>0</v>
      </c>
      <c r="M11" s="22">
        <v>0</v>
      </c>
      <c r="N11" s="22">
        <f>'Informações e Quantidades'!J11*L11</f>
        <v>0</v>
      </c>
      <c r="O11" s="447">
        <v>0</v>
      </c>
      <c r="P11" s="448">
        <v>0</v>
      </c>
      <c r="Q11" s="449">
        <v>0</v>
      </c>
      <c r="R11" s="448">
        <f>'Informações e Quantidades'!J11*P11</f>
        <v>0</v>
      </c>
      <c r="S11" s="441">
        <f>'Veículos - Custo Fixo'!F40</f>
        <v>1397.75</v>
      </c>
      <c r="T11" s="440">
        <f>'Informações e Quantidades'!K11</f>
        <v>2</v>
      </c>
      <c r="U11" s="442">
        <f>'Veículos - Custo Variável'!F46</f>
        <v>1.0817000000000001</v>
      </c>
      <c r="V11" s="440">
        <f>'Informações e Quantidades'!L11*'Formação de Preços'!T11</f>
        <v>1400</v>
      </c>
      <c r="W11" s="24">
        <f>'Ajuda de Custo'!D41</f>
        <v>228.00218938149973</v>
      </c>
      <c r="X11" s="25">
        <f>'Informações e Quantidades'!M11</f>
        <v>9</v>
      </c>
      <c r="Y11" s="26">
        <f>'SC '!D123/220*(1+AC$5)</f>
        <v>47.669681803866254</v>
      </c>
      <c r="Z11" s="27">
        <f>'Informações e Quantidades'!N11</f>
        <v>20</v>
      </c>
      <c r="AA11" s="26">
        <f>'SC '!D123/220*(1+AC$5)</f>
        <v>47.669681803866254</v>
      </c>
      <c r="AB11" s="27">
        <f>'Informações e Quantidades'!O11</f>
        <v>4</v>
      </c>
      <c r="AC11" s="26">
        <f>'SC '!C123/220*(1+AC$5)</f>
        <v>40.891784591309147</v>
      </c>
      <c r="AD11" s="27">
        <f>'Informações e Quantidades'!P11</f>
        <v>4</v>
      </c>
      <c r="AE11" s="28">
        <f>AE8</f>
        <v>5.05</v>
      </c>
      <c r="AF11" s="29">
        <f>'Informações e Quantidades'!Q11</f>
        <v>26</v>
      </c>
      <c r="AG11" s="30">
        <f t="shared" si="0"/>
        <v>19337.266851297743</v>
      </c>
      <c r="AH11" s="33"/>
      <c r="AMJ11" s="2"/>
      <c r="AMK11" s="2"/>
      <c r="AML11" s="2"/>
      <c r="AMM11" s="2"/>
      <c r="AMN11" s="2"/>
      <c r="AMO11" s="2"/>
      <c r="AMP11" s="2"/>
      <c r="AMQ11" s="2"/>
    </row>
    <row r="12" spans="1:1031" ht="14.65" customHeight="1">
      <c r="A12" s="17">
        <f>'Informações e Quantidades'!A12</f>
        <v>5</v>
      </c>
      <c r="B12" s="18" t="str">
        <f>'Informações e Quantidades'!B12</f>
        <v>GERÊNCIA EXECUTIVA JOINVILLE</v>
      </c>
      <c r="C12" s="320" t="s">
        <v>30</v>
      </c>
      <c r="D12" s="231">
        <f>'Informações e Quantidades'!D12</f>
        <v>0.03</v>
      </c>
      <c r="E12" s="20">
        <f>'SC '!D122</f>
        <v>6036.8480116720766</v>
      </c>
      <c r="F12" s="230">
        <f>'Informações e Quantidades'!E12+'Informações e Quantidades'!F12</f>
        <v>1</v>
      </c>
      <c r="G12" s="21">
        <f>'Veículos - Custo Fixo'!C39</f>
        <v>2773.78</v>
      </c>
      <c r="H12" s="22">
        <f>'Informações e Quantidades'!G12</f>
        <v>1</v>
      </c>
      <c r="I12" s="23">
        <f>'Veículos - Custo Variável'!C45</f>
        <v>0.82620000000000005</v>
      </c>
      <c r="J12" s="22">
        <f>'Informações e Quantidades'!J12*H12</f>
        <v>3000</v>
      </c>
      <c r="K12" s="21">
        <v>0</v>
      </c>
      <c r="L12" s="22">
        <f>'Informações e Quantidades'!H12</f>
        <v>0</v>
      </c>
      <c r="M12" s="22">
        <v>0</v>
      </c>
      <c r="N12" s="22">
        <f>'Informações e Quantidades'!J12*L12</f>
        <v>0</v>
      </c>
      <c r="O12" s="447">
        <v>0</v>
      </c>
      <c r="P12" s="448">
        <v>0</v>
      </c>
      <c r="Q12" s="449">
        <v>0</v>
      </c>
      <c r="R12" s="448">
        <f>'Informações e Quantidades'!J12*P12</f>
        <v>0</v>
      </c>
      <c r="S12" s="441">
        <f>'Veículos - Custo Fixo'!F39</f>
        <v>1367.8</v>
      </c>
      <c r="T12" s="440">
        <f>'Informações e Quantidades'!K12</f>
        <v>2</v>
      </c>
      <c r="U12" s="442">
        <f>'Veículos - Custo Variável'!F45</f>
        <v>1.0585</v>
      </c>
      <c r="V12" s="440">
        <f>'Informações e Quantidades'!L12*'Formação de Preços'!T12</f>
        <v>1400</v>
      </c>
      <c r="W12" s="24">
        <f>'Ajuda de Custo'!D40</f>
        <v>223.11730048205678</v>
      </c>
      <c r="X12" s="25">
        <f>'Informações e Quantidades'!M12</f>
        <v>9</v>
      </c>
      <c r="Y12" s="26">
        <f>'SC '!D122/220*(1+AC$5)</f>
        <v>46.648370999284225</v>
      </c>
      <c r="Z12" s="27">
        <f>'Informações e Quantidades'!N12</f>
        <v>20</v>
      </c>
      <c r="AA12" s="26">
        <f>'SC '!D122/220*(1+AC$5)</f>
        <v>46.648370999284225</v>
      </c>
      <c r="AB12" s="27">
        <f>'Informações e Quantidades'!O12</f>
        <v>4</v>
      </c>
      <c r="AC12" s="26">
        <f>'SC '!C122/220*(1+AC$5)</f>
        <v>40.015688510081311</v>
      </c>
      <c r="AD12" s="27">
        <f>'Informações e Quantidades'!P12</f>
        <v>4</v>
      </c>
      <c r="AE12" s="28">
        <f>AE8</f>
        <v>5.05</v>
      </c>
      <c r="AF12" s="29">
        <f>'Informações e Quantidades'!Q12</f>
        <v>26</v>
      </c>
      <c r="AG12" s="30">
        <f t="shared" si="0"/>
        <v>18925.707374033736</v>
      </c>
      <c r="AH12" s="32"/>
      <c r="AMJ12" s="2"/>
      <c r="AMK12" s="2"/>
      <c r="AML12" s="2"/>
      <c r="AMM12" s="2"/>
      <c r="AMN12" s="2"/>
      <c r="AMO12" s="2"/>
      <c r="AMP12" s="2"/>
      <c r="AMQ12" s="2"/>
    </row>
    <row r="13" spans="1:1031" ht="14.65" customHeight="1">
      <c r="A13" s="17">
        <f>'Informações e Quantidades'!A13</f>
        <v>6</v>
      </c>
      <c r="B13" s="18" t="str">
        <f>'Informações e Quantidades'!B13</f>
        <v>GERÊNCIA EXECUTIVA BLUMENAU</v>
      </c>
      <c r="C13" s="320" t="s">
        <v>30</v>
      </c>
      <c r="D13" s="231">
        <f>'Informações e Quantidades'!D13</f>
        <v>0.05</v>
      </c>
      <c r="E13" s="20">
        <f>'SC '!D123</f>
        <v>6169.0176452062215</v>
      </c>
      <c r="F13" s="230">
        <f>'Informações e Quantidades'!E13+'Informações e Quantidades'!F13</f>
        <v>1</v>
      </c>
      <c r="G13" s="21">
        <f>'Veículos - Custo Fixo'!C40</f>
        <v>2834.51</v>
      </c>
      <c r="H13" s="22">
        <f>'Informações e Quantidades'!G13</f>
        <v>1</v>
      </c>
      <c r="I13" s="23">
        <f>'Veículos - Custo Variável'!C46</f>
        <v>0.84430000000000005</v>
      </c>
      <c r="J13" s="22">
        <f>'Informações e Quantidades'!J13*H13</f>
        <v>3000</v>
      </c>
      <c r="K13" s="21">
        <v>0</v>
      </c>
      <c r="L13" s="22">
        <f>'Informações e Quantidades'!H13</f>
        <v>0</v>
      </c>
      <c r="M13" s="22">
        <v>0</v>
      </c>
      <c r="N13" s="22">
        <f>'Informações e Quantidades'!J13*L13</f>
        <v>0</v>
      </c>
      <c r="O13" s="447">
        <v>0</v>
      </c>
      <c r="P13" s="448">
        <v>0</v>
      </c>
      <c r="Q13" s="449">
        <v>0</v>
      </c>
      <c r="R13" s="448">
        <f>'Informações e Quantidades'!J13*P13</f>
        <v>0</v>
      </c>
      <c r="S13" s="441">
        <f>'Veículos - Custo Fixo'!F40</f>
        <v>1397.75</v>
      </c>
      <c r="T13" s="440">
        <f>'Informações e Quantidades'!K13</f>
        <v>2</v>
      </c>
      <c r="U13" s="442">
        <f>'Veículos - Custo Variável'!F46</f>
        <v>1.0817000000000001</v>
      </c>
      <c r="V13" s="440">
        <f>'Informações e Quantidades'!L13*'Formação de Preços'!T13</f>
        <v>1400</v>
      </c>
      <c r="W13" s="24">
        <f>'Ajuda de Custo'!D41</f>
        <v>228.00218938149973</v>
      </c>
      <c r="X13" s="25">
        <f>'Informações e Quantidades'!M13</f>
        <v>9</v>
      </c>
      <c r="Y13" s="26">
        <f>'SC '!D123/220*(1+AC$5)</f>
        <v>47.669681803866254</v>
      </c>
      <c r="Z13" s="27">
        <f>'Informações e Quantidades'!N13</f>
        <v>20</v>
      </c>
      <c r="AA13" s="26">
        <f>'SC '!D123/220*(1+AC$5)</f>
        <v>47.669681803866254</v>
      </c>
      <c r="AB13" s="27">
        <f>'Informações e Quantidades'!O13</f>
        <v>4</v>
      </c>
      <c r="AC13" s="26">
        <f>'SC '!C123/220*(1+AC$5)</f>
        <v>40.891784591309147</v>
      </c>
      <c r="AD13" s="27">
        <f>'Informações e Quantidades'!P13</f>
        <v>4</v>
      </c>
      <c r="AE13" s="28">
        <f>AE8</f>
        <v>5.05</v>
      </c>
      <c r="AF13" s="29">
        <f>'Informações e Quantidades'!Q13</f>
        <v>26</v>
      </c>
      <c r="AG13" s="30">
        <f t="shared" si="0"/>
        <v>19337.266851297743</v>
      </c>
      <c r="AH13" s="32"/>
      <c r="AMJ13" s="2"/>
      <c r="AMK13" s="2"/>
      <c r="AML13" s="2"/>
      <c r="AMM13" s="2"/>
      <c r="AMN13" s="2"/>
      <c r="AMO13" s="2"/>
      <c r="AMP13" s="2"/>
      <c r="AMQ13" s="2"/>
    </row>
    <row r="14" spans="1:1031" ht="14.65" customHeight="1">
      <c r="A14" s="34"/>
      <c r="B14" s="35" t="s">
        <v>0</v>
      </c>
      <c r="C14" s="35"/>
      <c r="D14" s="36"/>
      <c r="E14" s="37">
        <f>(E8*F8)+(E9*F9)+(E10*F10)+(E11*F11)+(E12*F12)+(E13*F13)</f>
        <v>36357.460235634462</v>
      </c>
      <c r="F14" s="38">
        <f>SUM(F8:F13)</f>
        <v>6</v>
      </c>
      <c r="G14" s="37">
        <f>SUM(G8*H8)+(G9*H9)+(G10*H10)+(G11*H11)+(G12*H12)+(G13*H13)</f>
        <v>13931.560000000001</v>
      </c>
      <c r="H14" s="38">
        <f>SUM(H8:H13)</f>
        <v>5</v>
      </c>
      <c r="I14" s="37">
        <f>(I8*J8)+(I9*J9)+(I10*J10)+(I11*J11)+(I12*J12)+(I13*J13)</f>
        <v>13266.9</v>
      </c>
      <c r="J14" s="38">
        <f>SUM(J8:J13)</f>
        <v>16000</v>
      </c>
      <c r="K14" s="37">
        <f>(K8*L8)+(K9*L9)+(K10*L10)+(K11*L11)+(K12*L12)+(K13*L13)</f>
        <v>3920.21</v>
      </c>
      <c r="L14" s="38">
        <f>SUM(L8:L13)</f>
        <v>1</v>
      </c>
      <c r="M14" s="38">
        <f>(M8*N8)+(M9*N9)+(M10*N10)+(M11*N11)+(M12*N12)+(M13*N13)</f>
        <v>3930.8</v>
      </c>
      <c r="N14" s="38">
        <f>SUM(N8:N13)</f>
        <v>4000</v>
      </c>
      <c r="O14" s="38">
        <f>(O8*P8)+(O9*P9)+(O10*P10)+(O11*P11)+(O12*P12)+(O13*P13)</f>
        <v>6350.79</v>
      </c>
      <c r="P14" s="38">
        <f>SUM(P8:P13)</f>
        <v>1</v>
      </c>
      <c r="Q14" s="38">
        <f>SUM(Q8*R8)+(Q9*R9)+(Q10*R10)+(Q11*R11)+(Q12*R12)+(Q13*R13)</f>
        <v>5575.2</v>
      </c>
      <c r="R14" s="38">
        <f>SUM(R8:R13)</f>
        <v>4000</v>
      </c>
      <c r="S14" s="37">
        <f>(S8*T8)+(S9*T9)+(S10*T10)+(S11*T11)+(S12*T12)+(S13*T13)</f>
        <v>17799.7</v>
      </c>
      <c r="T14" s="38">
        <f>SUM(T8:T13)</f>
        <v>13</v>
      </c>
      <c r="U14" s="38">
        <f>(U8*V8)+(U9*V9)+(U10*V10)+(U11*V11)+(U12*V12)+(U13*V13)</f>
        <v>9642.43</v>
      </c>
      <c r="V14" s="38">
        <f>SUM(V8:V13)</f>
        <v>9100</v>
      </c>
      <c r="W14" s="37">
        <f>(W8*X8)+(W9*X9)+(W10*X10)+(W11*X11)+(W12*X12)+(W13*X13)</f>
        <v>12525.742028970322</v>
      </c>
      <c r="X14" s="38">
        <f>SUM(X8:X13)</f>
        <v>56</v>
      </c>
      <c r="Y14" s="37">
        <f>(Y8*Z8)+(Y9*Z9)+(Y10*Z10)+(Y11*Z11)+(Y12*Z12)+(Y13*Z13)</f>
        <v>5618.8802182344161</v>
      </c>
      <c r="Z14" s="38">
        <f>SUM(Z8:Z13)</f>
        <v>120</v>
      </c>
      <c r="AA14" s="37">
        <f>(AA8*AB8)+(AA9*AB9)+(AA10*AB10)+(AA11*AB11)+(AA12*AB12)+(AA13*AB13)</f>
        <v>1214.1062755660059</v>
      </c>
      <c r="AB14" s="38">
        <f>SUM(AB8:AB13)</f>
        <v>26</v>
      </c>
      <c r="AC14" s="37">
        <f>(AC8*AD8)+(AC9*AD9)+(AC10*AD10)+(AC11*AD11)+(AC12*AD12)+(AC13*AD13)</f>
        <v>1041.4789948812941</v>
      </c>
      <c r="AD14" s="38">
        <f>SUM(AD8:AD13)</f>
        <v>26</v>
      </c>
      <c r="AE14" s="37">
        <f>(AE8*AF8)+(AE9*AF9)+(AE10*AF10)+(AE11*AF11)+(AE12*AF12)+(AE13*AF13)</f>
        <v>908.99999999999989</v>
      </c>
      <c r="AF14" s="39">
        <f>SUM(AF8:AF13)</f>
        <v>180</v>
      </c>
      <c r="AG14" s="37">
        <f>SUM(AG8:AG13)</f>
        <v>132084.25775328651</v>
      </c>
      <c r="AH14" s="31"/>
      <c r="AI14" s="3"/>
      <c r="AMJ14" s="2"/>
      <c r="AMK14" s="2"/>
      <c r="AML14" s="2"/>
      <c r="AMM14" s="2"/>
      <c r="AMN14" s="2"/>
      <c r="AMO14" s="2"/>
      <c r="AMP14" s="2"/>
      <c r="AMQ14" s="2"/>
    </row>
    <row r="15" spans="1:1031">
      <c r="M15" s="451"/>
      <c r="Q15" s="451"/>
      <c r="AG15" s="3"/>
      <c r="AMJ15" s="2"/>
      <c r="AMK15" s="2"/>
      <c r="AML15" s="2"/>
      <c r="AMM15" s="2"/>
    </row>
    <row r="16" spans="1:1031">
      <c r="AMJ16" s="2"/>
      <c r="AMK16" s="2"/>
      <c r="AML16" s="2"/>
      <c r="AMM16" s="2"/>
    </row>
    <row r="17" spans="1:35" s="45" customFormat="1" ht="15.75" customHeight="1">
      <c r="A17" s="40"/>
      <c r="B17" s="41" t="s">
        <v>32</v>
      </c>
      <c r="C17" s="41"/>
      <c r="D17" s="42"/>
      <c r="E17" s="43">
        <f t="shared" ref="E17:AF17" si="1">E14</f>
        <v>36357.460235634462</v>
      </c>
      <c r="F17" s="450">
        <f t="shared" si="1"/>
        <v>6</v>
      </c>
      <c r="G17" s="43">
        <f t="shared" si="1"/>
        <v>13931.560000000001</v>
      </c>
      <c r="H17" s="450">
        <f t="shared" si="1"/>
        <v>5</v>
      </c>
      <c r="I17" s="43">
        <f t="shared" si="1"/>
        <v>13266.9</v>
      </c>
      <c r="J17" s="450">
        <f t="shared" si="1"/>
        <v>16000</v>
      </c>
      <c r="K17" s="43">
        <f t="shared" si="1"/>
        <v>3920.21</v>
      </c>
      <c r="L17" s="450">
        <f t="shared" si="1"/>
        <v>1</v>
      </c>
      <c r="M17" s="43">
        <f t="shared" si="1"/>
        <v>3930.8</v>
      </c>
      <c r="N17" s="450">
        <f t="shared" si="1"/>
        <v>4000</v>
      </c>
      <c r="O17" s="43">
        <f t="shared" si="1"/>
        <v>6350.79</v>
      </c>
      <c r="P17" s="450">
        <f t="shared" si="1"/>
        <v>1</v>
      </c>
      <c r="Q17" s="43">
        <f t="shared" si="1"/>
        <v>5575.2</v>
      </c>
      <c r="R17" s="450">
        <f t="shared" si="1"/>
        <v>4000</v>
      </c>
      <c r="S17" s="43">
        <f t="shared" si="1"/>
        <v>17799.7</v>
      </c>
      <c r="T17" s="450">
        <f t="shared" si="1"/>
        <v>13</v>
      </c>
      <c r="U17" s="43">
        <f t="shared" si="1"/>
        <v>9642.43</v>
      </c>
      <c r="V17" s="450">
        <f t="shared" si="1"/>
        <v>9100</v>
      </c>
      <c r="W17" s="43">
        <f t="shared" si="1"/>
        <v>12525.742028970322</v>
      </c>
      <c r="X17" s="450">
        <f t="shared" si="1"/>
        <v>56</v>
      </c>
      <c r="Y17" s="43">
        <f t="shared" si="1"/>
        <v>5618.8802182344161</v>
      </c>
      <c r="Z17" s="450">
        <f t="shared" si="1"/>
        <v>120</v>
      </c>
      <c r="AA17" s="43">
        <f t="shared" si="1"/>
        <v>1214.1062755660059</v>
      </c>
      <c r="AB17" s="450">
        <f t="shared" si="1"/>
        <v>26</v>
      </c>
      <c r="AC17" s="43">
        <f t="shared" si="1"/>
        <v>1041.4789948812941</v>
      </c>
      <c r="AD17" s="450">
        <f t="shared" si="1"/>
        <v>26</v>
      </c>
      <c r="AE17" s="43">
        <f t="shared" si="1"/>
        <v>908.99999999999989</v>
      </c>
      <c r="AF17" s="450">
        <f t="shared" si="1"/>
        <v>180</v>
      </c>
      <c r="AG17" s="44">
        <f>SUM(E17,G17,I17,K17,M17,O17,Q17,S17,U17,W17,Y17,AA17,AC17,AE17)</f>
        <v>132084.25775328651</v>
      </c>
      <c r="AH17" s="444"/>
      <c r="AI17" s="2"/>
    </row>
    <row r="18" spans="1:35" s="45" customFormat="1" ht="15.75" customHeight="1">
      <c r="A18" s="367"/>
      <c r="B18" s="368"/>
      <c r="C18" s="368"/>
      <c r="D18" s="369"/>
      <c r="E18" s="369"/>
      <c r="F18" s="367"/>
      <c r="G18" s="367"/>
      <c r="H18" s="367"/>
      <c r="I18" s="367"/>
      <c r="J18" s="370"/>
      <c r="K18" s="370"/>
      <c r="L18" s="370"/>
      <c r="M18" s="370"/>
      <c r="N18" s="370"/>
      <c r="O18" s="370"/>
      <c r="P18" s="370"/>
      <c r="Q18" s="370"/>
      <c r="R18" s="370"/>
      <c r="S18" s="370"/>
      <c r="T18" s="370"/>
      <c r="U18" s="370"/>
      <c r="V18" s="370"/>
      <c r="W18" s="371"/>
      <c r="X18" s="372"/>
      <c r="Y18" s="373"/>
      <c r="Z18" s="373"/>
      <c r="AA18" s="373"/>
      <c r="AB18" s="373"/>
      <c r="AC18" s="373"/>
      <c r="AD18" s="373"/>
      <c r="AE18" s="461" t="s">
        <v>33</v>
      </c>
      <c r="AF18" s="461"/>
      <c r="AG18" s="374">
        <f>AG17</f>
        <v>132084.25775328651</v>
      </c>
      <c r="AH18" s="443"/>
    </row>
    <row r="19" spans="1:35" s="45" customFormat="1" ht="14.65" customHeight="1">
      <c r="A19" s="47"/>
      <c r="B19" s="48"/>
      <c r="C19" s="48"/>
      <c r="D19" s="48"/>
      <c r="E19" s="49"/>
      <c r="F19" s="47"/>
      <c r="G19" s="47"/>
      <c r="H19" s="47"/>
      <c r="I19" s="47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375"/>
      <c r="X19" s="376"/>
      <c r="Y19" s="377"/>
      <c r="Z19" s="377"/>
      <c r="AA19" s="377"/>
      <c r="AB19" s="377"/>
      <c r="AC19" s="377"/>
      <c r="AD19" s="377"/>
      <c r="AE19" s="462" t="s">
        <v>34</v>
      </c>
      <c r="AF19" s="462"/>
      <c r="AG19" s="378">
        <f>AG18*24</f>
        <v>3170022.1860788763</v>
      </c>
    </row>
    <row r="20" spans="1:35">
      <c r="AD20" s="3"/>
    </row>
    <row r="96" spans="1:6" ht="17.100000000000001" customHeight="1">
      <c r="A96" s="473" t="s">
        <v>35</v>
      </c>
      <c r="B96" s="473"/>
      <c r="C96" s="473"/>
      <c r="D96" s="473"/>
      <c r="E96" s="473"/>
      <c r="F96" s="473"/>
    </row>
    <row r="97" spans="1:6" ht="59.65" customHeight="1">
      <c r="A97" s="470" t="s">
        <v>36</v>
      </c>
      <c r="B97" s="470"/>
      <c r="C97" s="470"/>
      <c r="D97" s="470"/>
      <c r="E97" s="470"/>
      <c r="F97" s="470"/>
    </row>
    <row r="98" spans="1:6" ht="31.5" customHeight="1">
      <c r="A98" s="53" t="s">
        <v>37</v>
      </c>
      <c r="B98" s="53" t="s">
        <v>38</v>
      </c>
      <c r="C98" s="53"/>
      <c r="D98" s="53"/>
      <c r="E98" s="54" t="s">
        <v>39</v>
      </c>
      <c r="F98" s="54" t="s">
        <v>40</v>
      </c>
    </row>
    <row r="99" spans="1:6" ht="31.5" customHeight="1">
      <c r="A99" s="53">
        <v>1</v>
      </c>
      <c r="B99" s="55" t="s">
        <v>41</v>
      </c>
      <c r="C99" s="55"/>
      <c r="D99" s="55"/>
      <c r="E99" s="56" t="e">
        <f>NA()</f>
        <v>#N/A</v>
      </c>
      <c r="F99" s="56" t="e">
        <f>SUM(E99*30)</f>
        <v>#N/A</v>
      </c>
    </row>
    <row r="100" spans="1:6" ht="31.5" customHeight="1">
      <c r="A100" s="53">
        <v>2</v>
      </c>
      <c r="B100" s="55" t="s">
        <v>42</v>
      </c>
      <c r="C100" s="55"/>
      <c r="D100" s="55"/>
      <c r="E100" s="56" t="e">
        <f>NA()</f>
        <v>#N/A</v>
      </c>
      <c r="F100" s="56" t="e">
        <f>SUM(E100*30)</f>
        <v>#N/A</v>
      </c>
    </row>
    <row r="101" spans="1:6" ht="17.45" customHeight="1">
      <c r="A101" s="53">
        <v>3</v>
      </c>
      <c r="B101" s="55" t="s">
        <v>43</v>
      </c>
      <c r="C101" s="55"/>
      <c r="D101" s="55"/>
      <c r="E101" s="57" t="e">
        <f>NA()</f>
        <v>#N/A</v>
      </c>
      <c r="F101" s="56" t="e">
        <f>SUM(E101*3000)</f>
        <v>#N/A</v>
      </c>
    </row>
    <row r="102" spans="1:6" ht="17.100000000000001" customHeight="1">
      <c r="A102" s="53">
        <v>4</v>
      </c>
      <c r="B102" s="58" t="s">
        <v>44</v>
      </c>
      <c r="C102" s="58"/>
      <c r="D102" s="58"/>
      <c r="E102" s="56">
        <v>138.47</v>
      </c>
      <c r="F102" s="56">
        <f>SUM(E102*4)</f>
        <v>553.88</v>
      </c>
    </row>
    <row r="103" spans="1:6" ht="17.100000000000001" customHeight="1">
      <c r="A103" s="53">
        <v>5</v>
      </c>
      <c r="B103" s="58" t="s">
        <v>45</v>
      </c>
      <c r="C103" s="58"/>
      <c r="D103" s="58"/>
      <c r="E103" s="56">
        <v>12.5</v>
      </c>
      <c r="F103" s="56">
        <f>SUM(E103*20)</f>
        <v>250</v>
      </c>
    </row>
    <row r="104" spans="1:6" ht="17.100000000000001" customHeight="1">
      <c r="A104" s="53">
        <v>6</v>
      </c>
      <c r="B104" s="59" t="s">
        <v>46</v>
      </c>
      <c r="C104" s="59"/>
      <c r="D104" s="59"/>
      <c r="E104" s="56">
        <v>500</v>
      </c>
      <c r="F104" s="56">
        <v>500</v>
      </c>
    </row>
    <row r="105" spans="1:6" ht="17.100000000000001" customHeight="1">
      <c r="A105" s="470" t="s">
        <v>47</v>
      </c>
      <c r="B105" s="470"/>
      <c r="C105" s="314"/>
      <c r="D105" s="60"/>
      <c r="E105" s="471" t="e">
        <f>ROUNDUP(F99+F100+F101+F102+F103+F104,0)</f>
        <v>#N/A</v>
      </c>
      <c r="F105" s="471"/>
    </row>
    <row r="106" spans="1:6" ht="17.100000000000001" customHeight="1">
      <c r="A106" s="470" t="s">
        <v>48</v>
      </c>
      <c r="B106" s="470"/>
      <c r="C106" s="314"/>
      <c r="D106" s="60"/>
      <c r="E106" s="471" t="e">
        <f>SUM(E105*2)</f>
        <v>#N/A</v>
      </c>
      <c r="F106" s="471"/>
    </row>
    <row r="107" spans="1:6" ht="17.100000000000001" customHeight="1">
      <c r="A107" s="470" t="s">
        <v>49</v>
      </c>
      <c r="B107" s="470"/>
      <c r="C107" s="314"/>
      <c r="D107" s="60"/>
      <c r="E107" s="471" t="e">
        <f>SUM(E105*12)</f>
        <v>#N/A</v>
      </c>
      <c r="F107" s="471"/>
    </row>
    <row r="108" spans="1:6" ht="17.100000000000001" customHeight="1">
      <c r="A108" s="470" t="s">
        <v>50</v>
      </c>
      <c r="B108" s="470"/>
      <c r="C108" s="314"/>
      <c r="D108" s="60"/>
      <c r="E108" s="471" t="e">
        <f>SUM(E107*2)</f>
        <v>#N/A</v>
      </c>
      <c r="F108" s="471"/>
    </row>
    <row r="109" spans="1:6" ht="7.5" customHeight="1">
      <c r="A109" s="51"/>
      <c r="B109" s="52"/>
      <c r="C109" s="52"/>
      <c r="D109" s="52"/>
      <c r="E109" s="52"/>
      <c r="F109" s="52"/>
    </row>
    <row r="110" spans="1:6" ht="17.100000000000001" customHeight="1">
      <c r="A110" s="473" t="s">
        <v>51</v>
      </c>
      <c r="B110" s="473"/>
      <c r="C110" s="473"/>
      <c r="D110" s="473"/>
      <c r="E110" s="473"/>
      <c r="F110" s="473"/>
    </row>
    <row r="111" spans="1:6" ht="45.6" customHeight="1">
      <c r="A111" s="470" t="s">
        <v>52</v>
      </c>
      <c r="B111" s="470"/>
      <c r="C111" s="470"/>
      <c r="D111" s="470"/>
      <c r="E111" s="470"/>
      <c r="F111" s="470"/>
    </row>
    <row r="112" spans="1:6" ht="31.5" customHeight="1">
      <c r="A112" s="53" t="s">
        <v>37</v>
      </c>
      <c r="B112" s="53" t="s">
        <v>38</v>
      </c>
      <c r="C112" s="53"/>
      <c r="D112" s="53"/>
      <c r="E112" s="54" t="s">
        <v>39</v>
      </c>
      <c r="F112" s="54" t="s">
        <v>40</v>
      </c>
    </row>
    <row r="113" spans="1:6" ht="31.5" customHeight="1">
      <c r="A113" s="53">
        <v>1</v>
      </c>
      <c r="B113" s="55" t="s">
        <v>53</v>
      </c>
      <c r="C113" s="55"/>
      <c r="D113" s="55"/>
      <c r="E113" s="56" t="e">
        <f>NA()</f>
        <v>#N/A</v>
      </c>
      <c r="F113" s="56" t="e">
        <f>SUM(E113*30)</f>
        <v>#N/A</v>
      </c>
    </row>
    <row r="114" spans="1:6" ht="17.45" customHeight="1">
      <c r="A114" s="53">
        <v>2</v>
      </c>
      <c r="B114" s="55" t="s">
        <v>43</v>
      </c>
      <c r="C114" s="55"/>
      <c r="D114" s="55"/>
      <c r="E114" s="57" t="e">
        <f>NA()</f>
        <v>#N/A</v>
      </c>
      <c r="F114" s="56" t="e">
        <f>SUM(E114*3000)</f>
        <v>#N/A</v>
      </c>
    </row>
    <row r="115" spans="1:6" ht="17.100000000000001" customHeight="1">
      <c r="A115" s="53">
        <v>3</v>
      </c>
      <c r="B115" s="58" t="s">
        <v>46</v>
      </c>
      <c r="C115" s="58"/>
      <c r="D115" s="58"/>
      <c r="E115" s="56">
        <v>500</v>
      </c>
      <c r="F115" s="56">
        <v>500</v>
      </c>
    </row>
    <row r="116" spans="1:6" ht="17.100000000000001" customHeight="1">
      <c r="A116" s="470" t="s">
        <v>47</v>
      </c>
      <c r="B116" s="470"/>
      <c r="C116" s="314"/>
      <c r="D116" s="60"/>
      <c r="E116" s="471" t="e">
        <f>ROUNDUP(F113+F114+F115,0)</f>
        <v>#N/A</v>
      </c>
      <c r="F116" s="471"/>
    </row>
    <row r="117" spans="1:6" ht="17.100000000000001" customHeight="1">
      <c r="A117" s="470" t="s">
        <v>48</v>
      </c>
      <c r="B117" s="470"/>
      <c r="C117" s="314"/>
      <c r="D117" s="60"/>
      <c r="E117" s="471" t="e">
        <f>SUM(E116*2)</f>
        <v>#N/A</v>
      </c>
      <c r="F117" s="471"/>
    </row>
    <row r="118" spans="1:6" ht="17.100000000000001" customHeight="1">
      <c r="A118" s="470" t="s">
        <v>49</v>
      </c>
      <c r="B118" s="470"/>
      <c r="C118" s="314"/>
      <c r="D118" s="60"/>
      <c r="E118" s="471" t="e">
        <f>SUM(E116*12)</f>
        <v>#N/A</v>
      </c>
      <c r="F118" s="471"/>
    </row>
    <row r="119" spans="1:6" ht="17.100000000000001" customHeight="1">
      <c r="A119" s="470" t="s">
        <v>50</v>
      </c>
      <c r="B119" s="470"/>
      <c r="C119" s="314"/>
      <c r="D119" s="60"/>
      <c r="E119" s="471" t="e">
        <f>SUM(E118*2)</f>
        <v>#N/A</v>
      </c>
      <c r="F119" s="471"/>
    </row>
    <row r="120" spans="1:6" ht="7.5" customHeight="1">
      <c r="A120" s="51"/>
      <c r="B120" s="52"/>
      <c r="C120" s="52"/>
      <c r="D120" s="52"/>
      <c r="E120" s="52"/>
      <c r="F120" s="52"/>
    </row>
    <row r="121" spans="1:6" ht="17.100000000000001" customHeight="1">
      <c r="A121" s="473" t="s">
        <v>54</v>
      </c>
      <c r="B121" s="473"/>
      <c r="C121" s="473"/>
      <c r="D121" s="473"/>
      <c r="E121" s="473"/>
      <c r="F121" s="473"/>
    </row>
    <row r="122" spans="1:6" ht="45.6" customHeight="1">
      <c r="A122" s="470" t="s">
        <v>55</v>
      </c>
      <c r="B122" s="470"/>
      <c r="C122" s="470"/>
      <c r="D122" s="470"/>
      <c r="E122" s="470"/>
      <c r="F122" s="470"/>
    </row>
    <row r="123" spans="1:6" ht="31.5" customHeight="1">
      <c r="A123" s="53" t="s">
        <v>37</v>
      </c>
      <c r="B123" s="53" t="s">
        <v>38</v>
      </c>
      <c r="C123" s="53"/>
      <c r="D123" s="53"/>
      <c r="E123" s="54" t="s">
        <v>39</v>
      </c>
      <c r="F123" s="54" t="s">
        <v>40</v>
      </c>
    </row>
    <row r="124" spans="1:6" ht="17.45" customHeight="1">
      <c r="A124" s="53">
        <v>1</v>
      </c>
      <c r="B124" s="55" t="s">
        <v>56</v>
      </c>
      <c r="C124" s="55"/>
      <c r="D124" s="55"/>
      <c r="E124" s="56" t="e">
        <f>NA()</f>
        <v>#N/A</v>
      </c>
      <c r="F124" s="56" t="e">
        <f>SUM(E124*4)</f>
        <v>#N/A</v>
      </c>
    </row>
    <row r="125" spans="1:6" ht="31.5" customHeight="1">
      <c r="A125" s="53">
        <v>2</v>
      </c>
      <c r="B125" s="55" t="s">
        <v>57</v>
      </c>
      <c r="C125" s="55"/>
      <c r="D125" s="55"/>
      <c r="E125" s="56" t="e">
        <f>NA()</f>
        <v>#N/A</v>
      </c>
      <c r="F125" s="56" t="e">
        <f>SUM(E125*4)</f>
        <v>#N/A</v>
      </c>
    </row>
    <row r="126" spans="1:6" ht="31.5" customHeight="1">
      <c r="A126" s="53">
        <v>3</v>
      </c>
      <c r="B126" s="55" t="s">
        <v>58</v>
      </c>
      <c r="C126" s="55"/>
      <c r="D126" s="55"/>
      <c r="E126" s="57" t="e">
        <f>NA()</f>
        <v>#N/A</v>
      </c>
      <c r="F126" s="56" t="e">
        <f>SUM(E126*2000)</f>
        <v>#N/A</v>
      </c>
    </row>
    <row r="127" spans="1:6" ht="17.100000000000001" customHeight="1">
      <c r="A127" s="53">
        <v>4</v>
      </c>
      <c r="B127" s="58" t="s">
        <v>59</v>
      </c>
      <c r="C127" s="58"/>
      <c r="D127" s="58"/>
      <c r="E127" s="56">
        <v>138.47</v>
      </c>
      <c r="F127" s="56">
        <f>SUM(E127*2)</f>
        <v>276.94</v>
      </c>
    </row>
    <row r="128" spans="1:6" ht="17.100000000000001" customHeight="1">
      <c r="A128" s="53">
        <v>5</v>
      </c>
      <c r="B128" s="58" t="s">
        <v>60</v>
      </c>
      <c r="C128" s="58"/>
      <c r="D128" s="58"/>
      <c r="E128" s="56">
        <v>12.5</v>
      </c>
      <c r="F128" s="56">
        <f>SUM(E128*5)</f>
        <v>62.5</v>
      </c>
    </row>
    <row r="129" spans="1:6" ht="17.100000000000001" customHeight="1">
      <c r="A129" s="53">
        <v>6</v>
      </c>
      <c r="B129" s="59" t="s">
        <v>61</v>
      </c>
      <c r="C129" s="59"/>
      <c r="D129" s="59"/>
      <c r="E129" s="56">
        <v>50</v>
      </c>
      <c r="F129" s="56">
        <f>SUM(E129*4)</f>
        <v>200</v>
      </c>
    </row>
    <row r="130" spans="1:6" ht="17.100000000000001" customHeight="1">
      <c r="A130" s="470" t="s">
        <v>47</v>
      </c>
      <c r="B130" s="470"/>
      <c r="C130" s="314"/>
      <c r="D130" s="60"/>
      <c r="E130" s="471" t="e">
        <f>ROUNDUP(F124+F125+F126+F127+F128+F129,0)</f>
        <v>#N/A</v>
      </c>
      <c r="F130" s="471"/>
    </row>
    <row r="131" spans="1:6" ht="17.100000000000001" customHeight="1">
      <c r="A131" s="470" t="s">
        <v>49</v>
      </c>
      <c r="B131" s="470"/>
      <c r="C131" s="314"/>
      <c r="D131" s="60"/>
      <c r="E131" s="471" t="e">
        <f>SUM(E130*12)</f>
        <v>#N/A</v>
      </c>
      <c r="F131" s="471"/>
    </row>
    <row r="132" spans="1:6" ht="8.25" customHeight="1">
      <c r="A132" s="51"/>
      <c r="B132" s="52"/>
      <c r="C132" s="52"/>
      <c r="D132" s="52"/>
      <c r="E132" s="52"/>
      <c r="F132" s="52"/>
    </row>
    <row r="133" spans="1:6" ht="17.100000000000001" customHeight="1">
      <c r="A133" s="473" t="s">
        <v>62</v>
      </c>
      <c r="B133" s="473"/>
      <c r="C133" s="473"/>
      <c r="D133" s="473"/>
      <c r="E133" s="473"/>
      <c r="F133" s="473"/>
    </row>
    <row r="134" spans="1:6" ht="45.6" customHeight="1">
      <c r="A134" s="470" t="s">
        <v>63</v>
      </c>
      <c r="B134" s="470"/>
      <c r="C134" s="470"/>
      <c r="D134" s="470"/>
      <c r="E134" s="470"/>
      <c r="F134" s="470"/>
    </row>
    <row r="135" spans="1:6" ht="31.5" customHeight="1">
      <c r="A135" s="53" t="s">
        <v>37</v>
      </c>
      <c r="B135" s="53" t="s">
        <v>38</v>
      </c>
      <c r="C135" s="53"/>
      <c r="D135" s="53"/>
      <c r="E135" s="54" t="s">
        <v>39</v>
      </c>
      <c r="F135" s="54" t="s">
        <v>40</v>
      </c>
    </row>
    <row r="136" spans="1:6" ht="17.45" customHeight="1">
      <c r="A136" s="53">
        <v>1</v>
      </c>
      <c r="B136" s="55" t="s">
        <v>56</v>
      </c>
      <c r="C136" s="55"/>
      <c r="D136" s="55"/>
      <c r="E136" s="56" t="e" vm="1">
        <f>[1]Insumos!E72</f>
        <v>#VALUE!</v>
      </c>
      <c r="F136" s="56" t="e" vm="2">
        <f>SUM(E136*4)</f>
        <v>#VALUE!</v>
      </c>
    </row>
    <row r="137" spans="1:6" ht="31.5" customHeight="1">
      <c r="A137" s="53">
        <v>2</v>
      </c>
      <c r="B137" s="55" t="s">
        <v>57</v>
      </c>
      <c r="C137" s="55"/>
      <c r="D137" s="55"/>
      <c r="E137" s="56" t="e">
        <f>NA()</f>
        <v>#N/A</v>
      </c>
      <c r="F137" s="56" t="e">
        <f>SUM(E137*4)</f>
        <v>#N/A</v>
      </c>
    </row>
    <row r="138" spans="1:6" ht="31.5" customHeight="1">
      <c r="A138" s="53">
        <v>3</v>
      </c>
      <c r="B138" s="55" t="s">
        <v>58</v>
      </c>
      <c r="C138" s="55"/>
      <c r="D138" s="55"/>
      <c r="E138" s="57" t="e">
        <f>NA()</f>
        <v>#N/A</v>
      </c>
      <c r="F138" s="56" t="e">
        <f>SUM(E138*2000)</f>
        <v>#N/A</v>
      </c>
    </row>
    <row r="139" spans="1:6" ht="17.100000000000001" customHeight="1">
      <c r="A139" s="53">
        <v>4</v>
      </c>
      <c r="B139" s="58" t="s">
        <v>59</v>
      </c>
      <c r="C139" s="58"/>
      <c r="D139" s="58"/>
      <c r="E139" s="56">
        <v>138.47</v>
      </c>
      <c r="F139" s="56">
        <f>SUM(E139*2)</f>
        <v>276.94</v>
      </c>
    </row>
    <row r="140" spans="1:6" ht="17.100000000000001" customHeight="1">
      <c r="A140" s="53">
        <v>5</v>
      </c>
      <c r="B140" s="58" t="s">
        <v>60</v>
      </c>
      <c r="C140" s="58"/>
      <c r="D140" s="58"/>
      <c r="E140" s="56">
        <v>12.5</v>
      </c>
      <c r="F140" s="56">
        <f>SUM(E140*5)</f>
        <v>62.5</v>
      </c>
    </row>
    <row r="141" spans="1:6" ht="17.100000000000001" customHeight="1">
      <c r="A141" s="53">
        <v>6</v>
      </c>
      <c r="B141" s="59" t="s">
        <v>61</v>
      </c>
      <c r="C141" s="59"/>
      <c r="D141" s="59"/>
      <c r="E141" s="56">
        <v>50</v>
      </c>
      <c r="F141" s="56">
        <f>SUM(E141*4)</f>
        <v>200</v>
      </c>
    </row>
    <row r="142" spans="1:6" ht="17.100000000000001" customHeight="1">
      <c r="A142" s="470" t="s">
        <v>47</v>
      </c>
      <c r="B142" s="470"/>
      <c r="C142" s="314"/>
      <c r="D142" s="60"/>
      <c r="E142" s="471" t="e" vm="2">
        <f>ROUNDUP(F136+F137+F138+F139+F140+F141,0)</f>
        <v>#VALUE!</v>
      </c>
      <c r="F142" s="471"/>
    </row>
    <row r="143" spans="1:6" ht="17.100000000000001" customHeight="1">
      <c r="A143" s="470" t="s">
        <v>49</v>
      </c>
      <c r="B143" s="470"/>
      <c r="C143" s="314"/>
      <c r="D143" s="60"/>
      <c r="E143" s="471" t="e" vm="2">
        <f>SUM(E142*12)</f>
        <v>#VALUE!</v>
      </c>
      <c r="F143" s="471"/>
    </row>
    <row r="144" spans="1:6" ht="7.5" customHeight="1">
      <c r="A144" s="51"/>
      <c r="B144" s="52"/>
      <c r="C144" s="52"/>
      <c r="D144" s="52"/>
      <c r="E144" s="52"/>
      <c r="F144" s="52"/>
    </row>
    <row r="145" spans="1:6" ht="17.100000000000001" customHeight="1">
      <c r="A145" s="473" t="s">
        <v>64</v>
      </c>
      <c r="B145" s="473"/>
      <c r="C145" s="473"/>
      <c r="D145" s="473"/>
      <c r="E145" s="473"/>
      <c r="F145" s="473"/>
    </row>
    <row r="146" spans="1:6" ht="17.100000000000001" customHeight="1">
      <c r="A146" s="473" t="s">
        <v>65</v>
      </c>
      <c r="B146" s="473"/>
      <c r="C146" s="473"/>
      <c r="D146" s="473"/>
      <c r="E146" s="473"/>
      <c r="F146" s="473"/>
    </row>
    <row r="147" spans="1:6" ht="59.65" customHeight="1">
      <c r="A147" s="470" t="s">
        <v>66</v>
      </c>
      <c r="B147" s="470"/>
      <c r="C147" s="470"/>
      <c r="D147" s="470"/>
      <c r="E147" s="470"/>
      <c r="F147" s="470"/>
    </row>
    <row r="148" spans="1:6" ht="31.5" customHeight="1">
      <c r="A148" s="53" t="s">
        <v>37</v>
      </c>
      <c r="B148" s="53" t="s">
        <v>38</v>
      </c>
      <c r="C148" s="53"/>
      <c r="D148" s="53"/>
      <c r="E148" s="54" t="s">
        <v>39</v>
      </c>
      <c r="F148" s="54" t="s">
        <v>40</v>
      </c>
    </row>
    <row r="149" spans="1:6" ht="31.5" customHeight="1">
      <c r="A149" s="53">
        <v>1</v>
      </c>
      <c r="B149" s="55" t="s">
        <v>41</v>
      </c>
      <c r="C149" s="55"/>
      <c r="D149" s="55"/>
      <c r="E149" s="56" t="e">
        <f>NA()</f>
        <v>#N/A</v>
      </c>
      <c r="F149" s="56" t="e">
        <f>SUM(E149*30)</f>
        <v>#N/A</v>
      </c>
    </row>
    <row r="150" spans="1:6" ht="31.5" customHeight="1">
      <c r="A150" s="53">
        <v>2</v>
      </c>
      <c r="B150" s="55" t="s">
        <v>42</v>
      </c>
      <c r="C150" s="55"/>
      <c r="D150" s="55"/>
      <c r="E150" s="56" t="e">
        <f>NA()</f>
        <v>#N/A</v>
      </c>
      <c r="F150" s="56" t="e">
        <f>SUM(E150*30)</f>
        <v>#N/A</v>
      </c>
    </row>
    <row r="151" spans="1:6" ht="17.45" customHeight="1">
      <c r="A151" s="53">
        <v>3</v>
      </c>
      <c r="B151" s="55" t="s">
        <v>43</v>
      </c>
      <c r="C151" s="55"/>
      <c r="D151" s="55"/>
      <c r="E151" s="57" t="e">
        <f>NA()</f>
        <v>#N/A</v>
      </c>
      <c r="F151" s="56" t="e">
        <f>SUM(E151*3000)</f>
        <v>#N/A</v>
      </c>
    </row>
    <row r="152" spans="1:6" ht="17.100000000000001" customHeight="1">
      <c r="A152" s="53">
        <v>4</v>
      </c>
      <c r="B152" s="58" t="s">
        <v>44</v>
      </c>
      <c r="C152" s="58"/>
      <c r="D152" s="58"/>
      <c r="E152" s="56" t="e">
        <f>NA()</f>
        <v>#N/A</v>
      </c>
      <c r="F152" s="56" t="e">
        <f>SUM(E152*4)</f>
        <v>#N/A</v>
      </c>
    </row>
    <row r="153" spans="1:6" ht="17.100000000000001" customHeight="1">
      <c r="A153" s="53">
        <v>5</v>
      </c>
      <c r="B153" s="58" t="s">
        <v>45</v>
      </c>
      <c r="C153" s="58"/>
      <c r="D153" s="58"/>
      <c r="E153" s="56" t="e">
        <f>NA()</f>
        <v>#N/A</v>
      </c>
      <c r="F153" s="56" t="e">
        <f>SUM(E153*20)</f>
        <v>#N/A</v>
      </c>
    </row>
    <row r="154" spans="1:6" ht="17.100000000000001" customHeight="1">
      <c r="A154" s="53">
        <v>6</v>
      </c>
      <c r="B154" s="59" t="s">
        <v>46</v>
      </c>
      <c r="C154" s="59"/>
      <c r="D154" s="59"/>
      <c r="E154" s="56">
        <v>500</v>
      </c>
      <c r="F154" s="56">
        <v>500</v>
      </c>
    </row>
    <row r="155" spans="1:6" ht="17.100000000000001" customHeight="1">
      <c r="A155" s="470" t="s">
        <v>47</v>
      </c>
      <c r="B155" s="470"/>
      <c r="C155" s="314"/>
      <c r="D155" s="60"/>
      <c r="E155" s="471" t="e">
        <f>ROUNDUP(F149+F150+F151+F152+F153+F154,0)</f>
        <v>#N/A</v>
      </c>
      <c r="F155" s="471"/>
    </row>
    <row r="156" spans="1:6" ht="17.100000000000001" customHeight="1">
      <c r="A156" s="470" t="s">
        <v>48</v>
      </c>
      <c r="B156" s="470"/>
      <c r="C156" s="314"/>
      <c r="D156" s="60"/>
      <c r="E156" s="471" t="e">
        <f>SUM(E155*2)</f>
        <v>#N/A</v>
      </c>
      <c r="F156" s="471"/>
    </row>
    <row r="157" spans="1:6" ht="17.100000000000001" customHeight="1">
      <c r="A157" s="470" t="s">
        <v>49</v>
      </c>
      <c r="B157" s="470"/>
      <c r="C157" s="314"/>
      <c r="D157" s="60"/>
      <c r="E157" s="471" t="e">
        <f>SUM(E155*12)</f>
        <v>#N/A</v>
      </c>
      <c r="F157" s="471"/>
    </row>
    <row r="158" spans="1:6" ht="17.100000000000001" customHeight="1">
      <c r="A158" s="470" t="s">
        <v>67</v>
      </c>
      <c r="B158" s="470"/>
      <c r="C158" s="314"/>
      <c r="D158" s="60"/>
      <c r="E158" s="471" t="e">
        <f>SUM(E157*2)</f>
        <v>#N/A</v>
      </c>
      <c r="F158" s="471"/>
    </row>
    <row r="159" spans="1:6" ht="7.5" customHeight="1">
      <c r="A159" s="51"/>
      <c r="B159" s="52"/>
      <c r="C159" s="52"/>
      <c r="D159" s="52"/>
      <c r="E159" s="52"/>
      <c r="F159" s="52"/>
    </row>
    <row r="160" spans="1:6" ht="17.100000000000001" customHeight="1">
      <c r="A160" s="473" t="s">
        <v>68</v>
      </c>
      <c r="B160" s="473"/>
      <c r="C160" s="473"/>
      <c r="D160" s="473"/>
      <c r="E160" s="473"/>
      <c r="F160" s="473"/>
    </row>
    <row r="161" spans="1:6" ht="59.65" customHeight="1">
      <c r="A161" s="470" t="s">
        <v>69</v>
      </c>
      <c r="B161" s="470"/>
      <c r="C161" s="470"/>
      <c r="D161" s="470"/>
      <c r="E161" s="470"/>
      <c r="F161" s="470"/>
    </row>
    <row r="162" spans="1:6" ht="31.5" customHeight="1">
      <c r="A162" s="53" t="s">
        <v>37</v>
      </c>
      <c r="B162" s="53" t="s">
        <v>38</v>
      </c>
      <c r="C162" s="53"/>
      <c r="D162" s="53"/>
      <c r="E162" s="54" t="s">
        <v>39</v>
      </c>
      <c r="F162" s="54" t="s">
        <v>40</v>
      </c>
    </row>
    <row r="163" spans="1:6" ht="17.45" customHeight="1">
      <c r="A163" s="53">
        <v>1</v>
      </c>
      <c r="B163" s="55" t="s">
        <v>70</v>
      </c>
      <c r="C163" s="55"/>
      <c r="D163" s="55"/>
      <c r="E163" s="56" t="e" vm="1">
        <f>[1]Insumos!D72</f>
        <v>#VALUE!</v>
      </c>
      <c r="F163" s="56" t="e" vm="2">
        <f>SUM(E163*5)</f>
        <v>#VALUE!</v>
      </c>
    </row>
    <row r="164" spans="1:6" ht="31.5" customHeight="1">
      <c r="A164" s="53">
        <v>2</v>
      </c>
      <c r="B164" s="55" t="s">
        <v>71</v>
      </c>
      <c r="C164" s="55"/>
      <c r="D164" s="55"/>
      <c r="E164" s="56" t="e">
        <f>NA()</f>
        <v>#N/A</v>
      </c>
      <c r="F164" s="56" t="e">
        <f>SUM(E164*5)</f>
        <v>#N/A</v>
      </c>
    </row>
    <row r="165" spans="1:6" ht="31.5" customHeight="1">
      <c r="A165" s="53">
        <v>3</v>
      </c>
      <c r="B165" s="55" t="s">
        <v>72</v>
      </c>
      <c r="C165" s="55"/>
      <c r="D165" s="55"/>
      <c r="E165" s="57" t="e">
        <f>NA()</f>
        <v>#N/A</v>
      </c>
      <c r="F165" s="56" t="e">
        <f>SUM(E165*2500)</f>
        <v>#N/A</v>
      </c>
    </row>
    <row r="166" spans="1:6" ht="17.100000000000001" customHeight="1">
      <c r="A166" s="53">
        <v>4</v>
      </c>
      <c r="B166" s="58" t="s">
        <v>59</v>
      </c>
      <c r="C166" s="58"/>
      <c r="D166" s="58"/>
      <c r="E166" s="56" t="e">
        <f>NA()</f>
        <v>#N/A</v>
      </c>
      <c r="F166" s="56" t="e">
        <f>SUM(E166*2)</f>
        <v>#N/A</v>
      </c>
    </row>
    <row r="167" spans="1:6" ht="17.100000000000001" customHeight="1">
      <c r="A167" s="53">
        <v>5</v>
      </c>
      <c r="B167" s="58" t="s">
        <v>60</v>
      </c>
      <c r="C167" s="58"/>
      <c r="D167" s="58"/>
      <c r="E167" s="56" t="e">
        <f>NA()</f>
        <v>#N/A</v>
      </c>
      <c r="F167" s="56" t="e">
        <f>SUM(E167*5)</f>
        <v>#N/A</v>
      </c>
    </row>
    <row r="168" spans="1:6" ht="17.100000000000001" customHeight="1">
      <c r="A168" s="53">
        <v>6</v>
      </c>
      <c r="B168" s="59" t="s">
        <v>61</v>
      </c>
      <c r="C168" s="59"/>
      <c r="D168" s="59"/>
      <c r="E168" s="56">
        <v>50</v>
      </c>
      <c r="F168" s="56">
        <f>SUM(E168*5)</f>
        <v>250</v>
      </c>
    </row>
    <row r="169" spans="1:6" ht="17.100000000000001" customHeight="1">
      <c r="A169" s="470" t="s">
        <v>47</v>
      </c>
      <c r="B169" s="470"/>
      <c r="C169" s="314"/>
      <c r="D169" s="60"/>
      <c r="E169" s="471" t="e" vm="2">
        <f>ROUNDUP(F163+F164+F165+F166+F167+F168,0)</f>
        <v>#VALUE!</v>
      </c>
      <c r="F169" s="471"/>
    </row>
    <row r="170" spans="1:6" ht="17.100000000000001" customHeight="1">
      <c r="A170" s="470" t="s">
        <v>49</v>
      </c>
      <c r="B170" s="470"/>
      <c r="C170" s="314"/>
      <c r="D170" s="60"/>
      <c r="E170" s="471" t="e" vm="2">
        <f>SUM(E169*12)</f>
        <v>#VALUE!</v>
      </c>
      <c r="F170" s="471"/>
    </row>
    <row r="171" spans="1:6" ht="7.5" customHeight="1">
      <c r="A171" s="51"/>
      <c r="B171" s="52"/>
      <c r="C171" s="52"/>
      <c r="D171" s="52"/>
      <c r="E171" s="52"/>
      <c r="F171" s="52"/>
    </row>
    <row r="172" spans="1:6" ht="17.100000000000001" customHeight="1">
      <c r="A172" s="473" t="s">
        <v>73</v>
      </c>
      <c r="B172" s="473"/>
      <c r="C172" s="473"/>
      <c r="D172" s="473"/>
      <c r="E172" s="473"/>
      <c r="F172" s="473"/>
    </row>
    <row r="173" spans="1:6" ht="17.100000000000001" customHeight="1">
      <c r="A173" s="470" t="s">
        <v>47</v>
      </c>
      <c r="B173" s="470"/>
      <c r="C173" s="314"/>
      <c r="D173" s="60"/>
      <c r="E173" s="471" t="e">
        <f>SUM(E156+E169)</f>
        <v>#N/A</v>
      </c>
      <c r="F173" s="471"/>
    </row>
    <row r="174" spans="1:6" ht="17.100000000000001" customHeight="1">
      <c r="A174" s="470" t="s">
        <v>49</v>
      </c>
      <c r="B174" s="470"/>
      <c r="C174" s="314"/>
      <c r="D174" s="60"/>
      <c r="E174" s="471" t="e">
        <f>SUM(E173*12)</f>
        <v>#N/A</v>
      </c>
      <c r="F174" s="471"/>
    </row>
    <row r="175" spans="1:6" ht="9.75" customHeight="1">
      <c r="A175" s="51"/>
      <c r="B175" s="52"/>
      <c r="C175" s="52"/>
      <c r="D175" s="52"/>
      <c r="E175" s="52"/>
      <c r="F175" s="52"/>
    </row>
    <row r="176" spans="1:6" ht="17.100000000000001" customHeight="1">
      <c r="A176" s="473" t="s">
        <v>74</v>
      </c>
      <c r="B176" s="473"/>
      <c r="C176" s="473"/>
      <c r="D176" s="473"/>
      <c r="E176" s="473"/>
      <c r="F176" s="473"/>
    </row>
    <row r="177" spans="1:6" ht="45.6" customHeight="1">
      <c r="A177" s="470" t="s">
        <v>75</v>
      </c>
      <c r="B177" s="470"/>
      <c r="C177" s="470"/>
      <c r="D177" s="470"/>
      <c r="E177" s="470"/>
      <c r="F177" s="470"/>
    </row>
    <row r="178" spans="1:6" ht="31.5" customHeight="1">
      <c r="A178" s="53" t="s">
        <v>37</v>
      </c>
      <c r="B178" s="53" t="s">
        <v>38</v>
      </c>
      <c r="C178" s="53"/>
      <c r="D178" s="53"/>
      <c r="E178" s="54" t="s">
        <v>39</v>
      </c>
      <c r="F178" s="54" t="s">
        <v>40</v>
      </c>
    </row>
    <row r="179" spans="1:6" ht="31.5" customHeight="1">
      <c r="A179" s="53">
        <v>1</v>
      </c>
      <c r="B179" s="55" t="s">
        <v>41</v>
      </c>
      <c r="C179" s="55"/>
      <c r="D179" s="55"/>
      <c r="E179" s="56" t="e">
        <f>NA()</f>
        <v>#N/A</v>
      </c>
      <c r="F179" s="56" t="e">
        <f>SUM(E179*30)</f>
        <v>#N/A</v>
      </c>
    </row>
    <row r="180" spans="1:6" ht="17.45" customHeight="1">
      <c r="A180" s="53">
        <v>2</v>
      </c>
      <c r="B180" s="55" t="s">
        <v>43</v>
      </c>
      <c r="C180" s="55"/>
      <c r="D180" s="55"/>
      <c r="E180" s="57" t="e">
        <f>NA()</f>
        <v>#N/A</v>
      </c>
      <c r="F180" s="56" t="e">
        <f>SUM(E180*3000)</f>
        <v>#N/A</v>
      </c>
    </row>
    <row r="181" spans="1:6" ht="17.100000000000001" customHeight="1">
      <c r="A181" s="53">
        <v>3</v>
      </c>
      <c r="B181" s="58" t="s">
        <v>46</v>
      </c>
      <c r="C181" s="58"/>
      <c r="D181" s="58"/>
      <c r="E181" s="56">
        <v>500</v>
      </c>
      <c r="F181" s="56">
        <v>500</v>
      </c>
    </row>
    <row r="182" spans="1:6" ht="17.100000000000001" customHeight="1">
      <c r="A182" s="470" t="s">
        <v>47</v>
      </c>
      <c r="B182" s="470"/>
      <c r="C182" s="314"/>
      <c r="D182" s="60"/>
      <c r="E182" s="471" t="e">
        <f>ROUNDUP(F179+F180+F181,0)</f>
        <v>#N/A</v>
      </c>
      <c r="F182" s="471"/>
    </row>
    <row r="183" spans="1:6" ht="17.100000000000001" customHeight="1">
      <c r="A183" s="470" t="s">
        <v>76</v>
      </c>
      <c r="B183" s="470"/>
      <c r="C183" s="314"/>
      <c r="D183" s="60"/>
      <c r="E183" s="471" t="e">
        <f>SUM(E182*3)</f>
        <v>#N/A</v>
      </c>
      <c r="F183" s="471"/>
    </row>
    <row r="184" spans="1:6" ht="17.100000000000001" customHeight="1">
      <c r="A184" s="470" t="s">
        <v>49</v>
      </c>
      <c r="B184" s="470"/>
      <c r="C184" s="314"/>
      <c r="D184" s="60"/>
      <c r="E184" s="471" t="e">
        <f>SUM(E182*12)</f>
        <v>#N/A</v>
      </c>
      <c r="F184" s="471"/>
    </row>
    <row r="185" spans="1:6" ht="17.100000000000001" customHeight="1">
      <c r="A185" s="470" t="s">
        <v>77</v>
      </c>
      <c r="B185" s="470"/>
      <c r="C185" s="314"/>
      <c r="D185" s="60"/>
      <c r="E185" s="471" t="e">
        <f>SUM(E184*3)</f>
        <v>#N/A</v>
      </c>
      <c r="F185" s="471"/>
    </row>
    <row r="186" spans="1:6" ht="8.25" customHeight="1">
      <c r="A186" s="51"/>
      <c r="B186" s="52"/>
      <c r="C186" s="52"/>
      <c r="D186" s="52"/>
      <c r="E186" s="52"/>
      <c r="F186" s="52"/>
    </row>
    <row r="187" spans="1:6" ht="17.100000000000001" customHeight="1">
      <c r="A187" s="473" t="s">
        <v>78</v>
      </c>
      <c r="B187" s="473"/>
      <c r="C187" s="473"/>
      <c r="D187" s="473"/>
      <c r="E187" s="473"/>
      <c r="F187" s="473"/>
    </row>
    <row r="188" spans="1:6" ht="45.6" customHeight="1">
      <c r="A188" s="470" t="s">
        <v>79</v>
      </c>
      <c r="B188" s="470"/>
      <c r="C188" s="470"/>
      <c r="D188" s="470"/>
      <c r="E188" s="470"/>
      <c r="F188" s="470"/>
    </row>
    <row r="189" spans="1:6" ht="31.5" customHeight="1">
      <c r="A189" s="53" t="s">
        <v>37</v>
      </c>
      <c r="B189" s="53" t="s">
        <v>38</v>
      </c>
      <c r="C189" s="53"/>
      <c r="D189" s="53"/>
      <c r="E189" s="54" t="s">
        <v>39</v>
      </c>
      <c r="F189" s="54" t="s">
        <v>40</v>
      </c>
    </row>
    <row r="190" spans="1:6" ht="17.45" customHeight="1">
      <c r="A190" s="53">
        <v>1</v>
      </c>
      <c r="B190" s="55" t="s">
        <v>70</v>
      </c>
      <c r="C190" s="55"/>
      <c r="D190" s="55"/>
      <c r="E190" s="56" t="e" vm="1">
        <f>SUM([1]Insumos!E72)</f>
        <v>#VALUE!</v>
      </c>
      <c r="F190" s="56" t="e" vm="2">
        <f>SUM(E190*5)</f>
        <v>#VALUE!</v>
      </c>
    </row>
    <row r="191" spans="1:6" ht="31.5" customHeight="1">
      <c r="A191" s="53">
        <v>2</v>
      </c>
      <c r="B191" s="55" t="s">
        <v>71</v>
      </c>
      <c r="C191" s="55"/>
      <c r="D191" s="55"/>
      <c r="E191" s="56" t="e">
        <f>NA()</f>
        <v>#N/A</v>
      </c>
      <c r="F191" s="56" t="e">
        <f>SUM(E191*5)</f>
        <v>#N/A</v>
      </c>
    </row>
    <row r="192" spans="1:6" ht="31.5" customHeight="1">
      <c r="A192" s="53">
        <v>3</v>
      </c>
      <c r="B192" s="55" t="s">
        <v>72</v>
      </c>
      <c r="C192" s="55"/>
      <c r="D192" s="55"/>
      <c r="E192" s="57" t="e">
        <f>NA()</f>
        <v>#N/A</v>
      </c>
      <c r="F192" s="56" t="e">
        <f>SUM(E192*2500)</f>
        <v>#N/A</v>
      </c>
    </row>
    <row r="193" spans="1:6" ht="17.100000000000001" customHeight="1">
      <c r="A193" s="53">
        <v>4</v>
      </c>
      <c r="B193" s="58" t="s">
        <v>59</v>
      </c>
      <c r="C193" s="58"/>
      <c r="D193" s="58"/>
      <c r="E193" s="56" t="e">
        <f>NA()</f>
        <v>#N/A</v>
      </c>
      <c r="F193" s="56" t="e">
        <f>SUM(E193*2)</f>
        <v>#N/A</v>
      </c>
    </row>
    <row r="194" spans="1:6" ht="17.100000000000001" customHeight="1">
      <c r="A194" s="53">
        <v>5</v>
      </c>
      <c r="B194" s="58" t="s">
        <v>60</v>
      </c>
      <c r="C194" s="58"/>
      <c r="D194" s="58"/>
      <c r="E194" s="56" t="e">
        <f>NA()</f>
        <v>#N/A</v>
      </c>
      <c r="F194" s="56" t="e">
        <f>SUM(E194*5)</f>
        <v>#N/A</v>
      </c>
    </row>
    <row r="195" spans="1:6" ht="17.100000000000001" customHeight="1">
      <c r="A195" s="53">
        <v>6</v>
      </c>
      <c r="B195" s="59" t="s">
        <v>61</v>
      </c>
      <c r="C195" s="59"/>
      <c r="D195" s="59"/>
      <c r="E195" s="56">
        <v>50</v>
      </c>
      <c r="F195" s="56">
        <f>SUM(E195*5)</f>
        <v>250</v>
      </c>
    </row>
    <row r="196" spans="1:6" ht="17.100000000000001" customHeight="1">
      <c r="A196" s="470" t="s">
        <v>47</v>
      </c>
      <c r="B196" s="470"/>
      <c r="C196" s="314"/>
      <c r="D196" s="60"/>
      <c r="E196" s="471" t="e" vm="2">
        <f>ROUNDUP(F190+F191+F192+F193+F194+F195,0)</f>
        <v>#VALUE!</v>
      </c>
      <c r="F196" s="471"/>
    </row>
    <row r="197" spans="1:6" ht="17.100000000000001" customHeight="1">
      <c r="A197" s="470" t="s">
        <v>49</v>
      </c>
      <c r="B197" s="470"/>
      <c r="C197" s="314"/>
      <c r="D197" s="60"/>
      <c r="E197" s="471" t="e" vm="2">
        <f>SUM(E196*12)</f>
        <v>#VALUE!</v>
      </c>
      <c r="F197" s="471"/>
    </row>
    <row r="199" spans="1:6" ht="17.100000000000001" customHeight="1">
      <c r="A199" s="473" t="s">
        <v>80</v>
      </c>
      <c r="B199" s="473"/>
      <c r="C199" s="473"/>
      <c r="D199" s="473"/>
      <c r="E199" s="473"/>
      <c r="F199" s="473"/>
    </row>
    <row r="200" spans="1:6" ht="59.65" customHeight="1">
      <c r="A200" s="470" t="s">
        <v>81</v>
      </c>
      <c r="B200" s="470"/>
      <c r="C200" s="470"/>
      <c r="D200" s="470"/>
      <c r="E200" s="470"/>
      <c r="F200" s="470"/>
    </row>
    <row r="201" spans="1:6" ht="31.5" customHeight="1">
      <c r="A201" s="53" t="s">
        <v>37</v>
      </c>
      <c r="B201" s="53" t="s">
        <v>38</v>
      </c>
      <c r="C201" s="53"/>
      <c r="D201" s="53"/>
      <c r="E201" s="54" t="s">
        <v>39</v>
      </c>
      <c r="F201" s="54" t="s">
        <v>40</v>
      </c>
    </row>
    <row r="202" spans="1:6" ht="31.5" customHeight="1">
      <c r="A202" s="53">
        <v>1</v>
      </c>
      <c r="B202" s="55" t="s">
        <v>41</v>
      </c>
      <c r="C202" s="55"/>
      <c r="D202" s="55"/>
      <c r="E202" s="56" t="e">
        <f>NA()</f>
        <v>#N/A</v>
      </c>
      <c r="F202" s="56" t="e">
        <f>SUM(E202*30)</f>
        <v>#N/A</v>
      </c>
    </row>
    <row r="203" spans="1:6" ht="31.5" customHeight="1">
      <c r="A203" s="53">
        <v>2</v>
      </c>
      <c r="B203" s="55" t="s">
        <v>42</v>
      </c>
      <c r="C203" s="55"/>
      <c r="D203" s="55"/>
      <c r="E203" s="56" t="e">
        <f>NA()</f>
        <v>#N/A</v>
      </c>
      <c r="F203" s="56" t="e">
        <f>SUM(E203*30)</f>
        <v>#N/A</v>
      </c>
    </row>
    <row r="204" spans="1:6" ht="17.45" customHeight="1">
      <c r="A204" s="53">
        <v>3</v>
      </c>
      <c r="B204" s="55" t="s">
        <v>43</v>
      </c>
      <c r="C204" s="55"/>
      <c r="D204" s="55"/>
      <c r="E204" s="57" t="e" vm="1">
        <f>'[1]Custos Variáveis'!C34</f>
        <v>#VALUE!</v>
      </c>
      <c r="F204" s="56" t="e" vm="2">
        <f>SUM(E204*3000)</f>
        <v>#VALUE!</v>
      </c>
    </row>
    <row r="205" spans="1:6" ht="17.100000000000001" customHeight="1">
      <c r="A205" s="53">
        <v>4</v>
      </c>
      <c r="B205" s="58" t="s">
        <v>44</v>
      </c>
      <c r="C205" s="58"/>
      <c r="D205" s="58"/>
      <c r="E205" s="56" t="e">
        <f>NA()</f>
        <v>#N/A</v>
      </c>
      <c r="F205" s="56" t="e">
        <f>SUM(E205*4)</f>
        <v>#N/A</v>
      </c>
    </row>
    <row r="206" spans="1:6" ht="17.100000000000001" customHeight="1">
      <c r="A206" s="53">
        <v>5</v>
      </c>
      <c r="B206" s="58" t="s">
        <v>45</v>
      </c>
      <c r="C206" s="58"/>
      <c r="D206" s="58"/>
      <c r="E206" s="56" t="e">
        <f>NA()</f>
        <v>#N/A</v>
      </c>
      <c r="F206" s="56" t="e">
        <f>SUM(E206*20)</f>
        <v>#N/A</v>
      </c>
    </row>
    <row r="207" spans="1:6" ht="17.100000000000001" customHeight="1">
      <c r="A207" s="53">
        <v>6</v>
      </c>
      <c r="B207" s="59" t="s">
        <v>46</v>
      </c>
      <c r="C207" s="59"/>
      <c r="D207" s="59"/>
      <c r="E207" s="56">
        <v>500</v>
      </c>
      <c r="F207" s="56">
        <v>500</v>
      </c>
    </row>
    <row r="208" spans="1:6" ht="17.100000000000001" customHeight="1">
      <c r="A208" s="470" t="s">
        <v>82</v>
      </c>
      <c r="B208" s="470"/>
      <c r="C208" s="314"/>
      <c r="D208" s="60"/>
      <c r="E208" s="471" t="e">
        <f>ROUNDUP(F202+F203+F204+F205+F206+F207,0)</f>
        <v>#N/A</v>
      </c>
      <c r="F208" s="471"/>
    </row>
    <row r="209" spans="1:6" ht="17.100000000000001" customHeight="1">
      <c r="A209" s="470" t="s">
        <v>48</v>
      </c>
      <c r="B209" s="470"/>
      <c r="C209" s="314"/>
      <c r="D209" s="60"/>
      <c r="E209" s="471" t="e">
        <f>SUM(E208*2)</f>
        <v>#N/A</v>
      </c>
      <c r="F209" s="471"/>
    </row>
    <row r="210" spans="1:6" ht="17.100000000000001" customHeight="1">
      <c r="A210" s="470" t="s">
        <v>49</v>
      </c>
      <c r="B210" s="470"/>
      <c r="C210" s="314"/>
      <c r="D210" s="60"/>
      <c r="E210" s="471" t="e">
        <f>SUM(E208*12)</f>
        <v>#N/A</v>
      </c>
      <c r="F210" s="471"/>
    </row>
    <row r="211" spans="1:6" ht="17.100000000000001" customHeight="1">
      <c r="A211" s="470" t="s">
        <v>83</v>
      </c>
      <c r="B211" s="470"/>
      <c r="C211" s="314"/>
      <c r="D211" s="60"/>
      <c r="E211" s="471" t="e">
        <f>SUM(E210*2)</f>
        <v>#N/A</v>
      </c>
      <c r="F211" s="471"/>
    </row>
    <row r="212" spans="1:6" ht="7.5" customHeight="1">
      <c r="A212" s="51"/>
      <c r="B212" s="52"/>
      <c r="C212" s="52"/>
      <c r="D212" s="52"/>
      <c r="E212" s="52"/>
      <c r="F212" s="52"/>
    </row>
    <row r="213" spans="1:6" ht="17.100000000000001" customHeight="1">
      <c r="A213" s="473" t="s">
        <v>84</v>
      </c>
      <c r="B213" s="473"/>
      <c r="C213" s="473"/>
      <c r="D213" s="473"/>
      <c r="E213" s="473"/>
      <c r="F213" s="473"/>
    </row>
    <row r="214" spans="1:6" ht="45.6" customHeight="1">
      <c r="A214" s="470" t="s">
        <v>85</v>
      </c>
      <c r="B214" s="470"/>
      <c r="C214" s="470"/>
      <c r="D214" s="470"/>
      <c r="E214" s="470"/>
      <c r="F214" s="470"/>
    </row>
    <row r="215" spans="1:6" ht="31.5" customHeight="1">
      <c r="A215" s="53" t="s">
        <v>37</v>
      </c>
      <c r="B215" s="53" t="s">
        <v>38</v>
      </c>
      <c r="C215" s="53"/>
      <c r="D215" s="53"/>
      <c r="E215" s="54" t="s">
        <v>39</v>
      </c>
      <c r="F215" s="54" t="s">
        <v>40</v>
      </c>
    </row>
    <row r="216" spans="1:6" ht="17.45" customHeight="1">
      <c r="A216" s="53">
        <v>1</v>
      </c>
      <c r="B216" s="55" t="s">
        <v>86</v>
      </c>
      <c r="C216" s="55"/>
      <c r="D216" s="55"/>
      <c r="E216" s="56" t="e" vm="1">
        <f>SUM([1]Insumos!E72)</f>
        <v>#VALUE!</v>
      </c>
      <c r="F216" s="56" t="e" vm="2">
        <f>SUM(E216*20)</f>
        <v>#VALUE!</v>
      </c>
    </row>
    <row r="217" spans="1:6" ht="31.5" customHeight="1">
      <c r="A217" s="53">
        <v>2</v>
      </c>
      <c r="B217" s="55" t="s">
        <v>87</v>
      </c>
      <c r="C217" s="55"/>
      <c r="D217" s="55"/>
      <c r="E217" s="56" t="e">
        <f>NA()</f>
        <v>#N/A</v>
      </c>
      <c r="F217" s="56" t="e">
        <f>SUM(E217*20)</f>
        <v>#N/A</v>
      </c>
    </row>
    <row r="218" spans="1:6" ht="31.5" customHeight="1">
      <c r="A218" s="53">
        <v>3</v>
      </c>
      <c r="B218" s="55" t="s">
        <v>88</v>
      </c>
      <c r="C218" s="55"/>
      <c r="D218" s="55"/>
      <c r="E218" s="57" t="e" vm="1">
        <f>'[1]Custos Variáveis'!D34</f>
        <v>#VALUE!</v>
      </c>
      <c r="F218" s="56" t="e" vm="2">
        <f>SUM(E218*10000)</f>
        <v>#VALUE!</v>
      </c>
    </row>
    <row r="219" spans="1:6" ht="17.100000000000001" customHeight="1">
      <c r="A219" s="53">
        <v>4</v>
      </c>
      <c r="B219" s="58" t="s">
        <v>44</v>
      </c>
      <c r="C219" s="58"/>
      <c r="D219" s="58"/>
      <c r="E219" s="56" t="e">
        <f>NA()</f>
        <v>#N/A</v>
      </c>
      <c r="F219" s="56" t="e">
        <f>SUM(E219*4)</f>
        <v>#N/A</v>
      </c>
    </row>
    <row r="220" spans="1:6" ht="17.100000000000001" customHeight="1">
      <c r="A220" s="53">
        <v>5</v>
      </c>
      <c r="B220" s="58" t="s">
        <v>45</v>
      </c>
      <c r="C220" s="58"/>
      <c r="D220" s="58"/>
      <c r="E220" s="56" t="e">
        <f>NA()</f>
        <v>#N/A</v>
      </c>
      <c r="F220" s="56" t="e">
        <f>E220*20</f>
        <v>#N/A</v>
      </c>
    </row>
    <row r="221" spans="1:6" ht="17.100000000000001" customHeight="1">
      <c r="A221" s="53">
        <v>6</v>
      </c>
      <c r="B221" s="59" t="s">
        <v>61</v>
      </c>
      <c r="C221" s="59"/>
      <c r="D221" s="59"/>
      <c r="E221" s="56">
        <v>50</v>
      </c>
      <c r="F221" s="56">
        <v>500</v>
      </c>
    </row>
    <row r="222" spans="1:6" ht="17.100000000000001" customHeight="1">
      <c r="A222" s="470" t="s">
        <v>47</v>
      </c>
      <c r="B222" s="470"/>
      <c r="C222" s="314"/>
      <c r="D222" s="60"/>
      <c r="E222" s="471" t="e" vm="2">
        <f>ROUNDUP(F216+F217+F218+F219+F220+F221,0)</f>
        <v>#VALUE!</v>
      </c>
      <c r="F222" s="471"/>
    </row>
    <row r="223" spans="1:6" ht="17.100000000000001" customHeight="1">
      <c r="A223" s="470" t="s">
        <v>49</v>
      </c>
      <c r="B223" s="470"/>
      <c r="C223" s="314"/>
      <c r="D223" s="60"/>
      <c r="E223" s="471" t="e" vm="2">
        <f>SUM(E222*12)</f>
        <v>#VALUE!</v>
      </c>
      <c r="F223" s="471"/>
    </row>
  </sheetData>
  <mergeCells count="103">
    <mergeCell ref="A223:B223"/>
    <mergeCell ref="E223:F223"/>
    <mergeCell ref="A185:B185"/>
    <mergeCell ref="E185:F185"/>
    <mergeCell ref="A187:F187"/>
    <mergeCell ref="A188:F188"/>
    <mergeCell ref="A196:B196"/>
    <mergeCell ref="E196:F196"/>
    <mergeCell ref="A213:F213"/>
    <mergeCell ref="A214:F214"/>
    <mergeCell ref="A222:B222"/>
    <mergeCell ref="E222:F222"/>
    <mergeCell ref="A211:B211"/>
    <mergeCell ref="E211:F211"/>
    <mergeCell ref="A197:B197"/>
    <mergeCell ref="E197:F197"/>
    <mergeCell ref="A199:F199"/>
    <mergeCell ref="A200:F200"/>
    <mergeCell ref="A208:B208"/>
    <mergeCell ref="E208:F208"/>
    <mergeCell ref="A209:B209"/>
    <mergeCell ref="E209:F209"/>
    <mergeCell ref="A210:B210"/>
    <mergeCell ref="E210:F210"/>
    <mergeCell ref="A183:B183"/>
    <mergeCell ref="E183:F183"/>
    <mergeCell ref="A184:B184"/>
    <mergeCell ref="E184:F184"/>
    <mergeCell ref="A160:F160"/>
    <mergeCell ref="A161:F161"/>
    <mergeCell ref="A169:B169"/>
    <mergeCell ref="E169:F169"/>
    <mergeCell ref="A170:B170"/>
    <mergeCell ref="E170:F170"/>
    <mergeCell ref="A172:F172"/>
    <mergeCell ref="A173:B173"/>
    <mergeCell ref="E173:F173"/>
    <mergeCell ref="A174:B174"/>
    <mergeCell ref="E174:F174"/>
    <mergeCell ref="A176:F176"/>
    <mergeCell ref="A177:F177"/>
    <mergeCell ref="A182:B182"/>
    <mergeCell ref="E182:F182"/>
    <mergeCell ref="A157:B157"/>
    <mergeCell ref="E157:F157"/>
    <mergeCell ref="A158:B158"/>
    <mergeCell ref="E158:F158"/>
    <mergeCell ref="A131:B131"/>
    <mergeCell ref="E131:F131"/>
    <mergeCell ref="A133:F133"/>
    <mergeCell ref="A134:F134"/>
    <mergeCell ref="A142:B142"/>
    <mergeCell ref="E142:F142"/>
    <mergeCell ref="A143:B143"/>
    <mergeCell ref="E143:F143"/>
    <mergeCell ref="A145:F145"/>
    <mergeCell ref="A146:F146"/>
    <mergeCell ref="A147:F147"/>
    <mergeCell ref="A155:B155"/>
    <mergeCell ref="E155:F155"/>
    <mergeCell ref="A156:B156"/>
    <mergeCell ref="E156:F156"/>
    <mergeCell ref="A130:B130"/>
    <mergeCell ref="E130:F130"/>
    <mergeCell ref="A106:B106"/>
    <mergeCell ref="E106:F106"/>
    <mergeCell ref="A107:B107"/>
    <mergeCell ref="E107:F107"/>
    <mergeCell ref="A108:B108"/>
    <mergeCell ref="E108:F108"/>
    <mergeCell ref="A110:F110"/>
    <mergeCell ref="A111:F111"/>
    <mergeCell ref="A116:B116"/>
    <mergeCell ref="E116:F116"/>
    <mergeCell ref="A117:B117"/>
    <mergeCell ref="E117:F117"/>
    <mergeCell ref="A118:B118"/>
    <mergeCell ref="E118:F118"/>
    <mergeCell ref="A119:B119"/>
    <mergeCell ref="E119:F119"/>
    <mergeCell ref="A105:B105"/>
    <mergeCell ref="E105:F105"/>
    <mergeCell ref="W6:X6"/>
    <mergeCell ref="Y6:Z6"/>
    <mergeCell ref="A96:F96"/>
    <mergeCell ref="A97:F97"/>
    <mergeCell ref="A121:F121"/>
    <mergeCell ref="A122:F122"/>
    <mergeCell ref="E5:F6"/>
    <mergeCell ref="O5:R6"/>
    <mergeCell ref="A1:AG1"/>
    <mergeCell ref="A4:AG4"/>
    <mergeCell ref="A2:AG2"/>
    <mergeCell ref="A3:AG3"/>
    <mergeCell ref="AE18:AF18"/>
    <mergeCell ref="AE19:AF19"/>
    <mergeCell ref="Y5:AB5"/>
    <mergeCell ref="AE6:AF6"/>
    <mergeCell ref="S5:V6"/>
    <mergeCell ref="AC6:AD6"/>
    <mergeCell ref="AA6:AB6"/>
    <mergeCell ref="G5:J6"/>
    <mergeCell ref="K5:N6"/>
  </mergeCells>
  <pageMargins left="0.78749999999999998" right="0.78749999999999998" top="1.1513888888888899" bottom="1.1513888888888899" header="0.78749999999999998" footer="0.78749999999999998"/>
  <pageSetup paperSize="9" firstPageNumber="0" orientation="portrait" horizontalDpi="300" verticalDpi="300"/>
  <headerFooter>
    <oddHeader>&amp;C&amp;"Times New Roman1,Regular"&amp;12&amp;A</oddHeader>
    <oddFooter>&amp;C&amp;"Times New Roman1,Regular"&amp;12Página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1"/>
  <sheetViews>
    <sheetView zoomScaleNormal="100" workbookViewId="0">
      <selection activeCell="D22" sqref="D22"/>
    </sheetView>
  </sheetViews>
  <sheetFormatPr defaultColWidth="8.5" defaultRowHeight="14.25"/>
  <cols>
    <col min="1" max="1" width="8.5" style="45"/>
    <col min="2" max="2" width="37.125" style="45" customWidth="1"/>
    <col min="3" max="3" width="25.25" style="45" customWidth="1"/>
    <col min="4" max="7" width="9" style="45" customWidth="1"/>
    <col min="8" max="10" width="9.25" style="45" customWidth="1"/>
    <col min="11" max="11" width="9.75" style="45" customWidth="1"/>
    <col min="12" max="12" width="10.5" style="45" customWidth="1"/>
    <col min="13" max="13" width="14.5" style="45" customWidth="1"/>
    <col min="14" max="14" width="12" style="45" customWidth="1"/>
    <col min="15" max="15" width="12.5" style="45" customWidth="1"/>
    <col min="16" max="16" width="10.125" style="45" customWidth="1"/>
    <col min="17" max="18" width="9.375" style="45" customWidth="1"/>
    <col min="19" max="64" width="8.5" style="45"/>
  </cols>
  <sheetData>
    <row r="1" spans="1:66" ht="24.4" customHeight="1">
      <c r="A1" s="479" t="s">
        <v>1</v>
      </c>
      <c r="B1" s="479"/>
      <c r="C1" s="479"/>
      <c r="D1" s="479"/>
      <c r="E1" s="479"/>
      <c r="F1" s="479"/>
      <c r="G1" s="479"/>
      <c r="H1" s="479"/>
      <c r="I1" s="479"/>
      <c r="J1" s="479"/>
      <c r="K1" s="479"/>
      <c r="L1" s="479"/>
      <c r="M1" s="479"/>
      <c r="N1" s="479"/>
      <c r="O1" s="479"/>
      <c r="P1" s="479"/>
      <c r="Q1" s="479"/>
    </row>
    <row r="2" spans="1:66" ht="12.75" customHeight="1">
      <c r="A2" s="480" t="s">
        <v>89</v>
      </c>
      <c r="B2" s="480"/>
      <c r="C2" s="480"/>
      <c r="D2" s="480"/>
      <c r="E2" s="480"/>
      <c r="F2" s="480"/>
      <c r="G2" s="480"/>
      <c r="H2" s="480"/>
      <c r="I2" s="480"/>
      <c r="J2" s="480"/>
      <c r="K2" s="480"/>
      <c r="L2" s="480"/>
      <c r="M2" s="480"/>
      <c r="N2" s="480"/>
      <c r="O2" s="480"/>
      <c r="P2" s="480"/>
      <c r="Q2" s="480"/>
    </row>
    <row r="3" spans="1:66" ht="12.75" customHeight="1">
      <c r="A3" s="453" t="s">
        <v>3</v>
      </c>
      <c r="B3" s="453"/>
      <c r="C3" s="453"/>
      <c r="D3" s="453"/>
      <c r="E3" s="453"/>
      <c r="F3" s="453"/>
      <c r="G3" s="453"/>
      <c r="H3" s="453"/>
      <c r="I3" s="453"/>
      <c r="J3" s="453"/>
      <c r="K3" s="453"/>
      <c r="L3" s="453"/>
      <c r="M3" s="453"/>
      <c r="N3" s="453"/>
      <c r="O3" s="453"/>
      <c r="P3" s="453"/>
      <c r="Q3" s="453"/>
    </row>
    <row r="4" spans="1:66" ht="24" customHeight="1">
      <c r="A4" s="481" t="s">
        <v>90</v>
      </c>
      <c r="B4" s="481"/>
      <c r="C4" s="481"/>
      <c r="D4" s="481"/>
      <c r="E4" s="481"/>
      <c r="F4" s="481"/>
      <c r="G4" s="481"/>
      <c r="H4" s="481"/>
      <c r="I4" s="481"/>
      <c r="J4" s="481"/>
      <c r="K4" s="481"/>
      <c r="L4" s="481"/>
      <c r="M4" s="481"/>
      <c r="N4" s="481"/>
      <c r="O4" s="481"/>
      <c r="P4" s="481"/>
      <c r="Q4" s="481"/>
    </row>
    <row r="5" spans="1:66" ht="14.65" customHeight="1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2"/>
      <c r="N5" s="62"/>
      <c r="O5" s="62"/>
      <c r="P5" s="62"/>
      <c r="Q5" s="62"/>
    </row>
    <row r="6" spans="1:66" ht="14.65" customHeight="1">
      <c r="A6" s="485" t="s">
        <v>17</v>
      </c>
      <c r="B6" s="485"/>
      <c r="C6" s="485"/>
      <c r="D6" s="485"/>
      <c r="E6" s="482" t="s">
        <v>91</v>
      </c>
      <c r="F6" s="482"/>
      <c r="G6" s="484" t="s">
        <v>92</v>
      </c>
      <c r="H6" s="484"/>
      <c r="I6" s="484"/>
      <c r="J6" s="484"/>
      <c r="K6" s="483" t="s">
        <v>93</v>
      </c>
      <c r="L6" s="483"/>
      <c r="M6" s="483"/>
      <c r="N6" s="483"/>
      <c r="O6" s="483"/>
      <c r="P6" s="483"/>
      <c r="Q6" s="483"/>
    </row>
    <row r="7" spans="1:66" ht="63" customHeight="1">
      <c r="A7" s="63" t="s">
        <v>16</v>
      </c>
      <c r="B7" s="63" t="s">
        <v>94</v>
      </c>
      <c r="C7" s="63" t="s">
        <v>95</v>
      </c>
      <c r="D7" s="64" t="s">
        <v>19</v>
      </c>
      <c r="E7" s="232" t="s">
        <v>96</v>
      </c>
      <c r="F7" s="232" t="s">
        <v>97</v>
      </c>
      <c r="G7" s="65" t="s">
        <v>98</v>
      </c>
      <c r="H7" s="65" t="s">
        <v>99</v>
      </c>
      <c r="I7" s="65" t="s">
        <v>100</v>
      </c>
      <c r="J7" s="65" t="s">
        <v>101</v>
      </c>
      <c r="K7" s="66" t="s">
        <v>102</v>
      </c>
      <c r="L7" s="66" t="s">
        <v>103</v>
      </c>
      <c r="M7" s="66" t="s">
        <v>104</v>
      </c>
      <c r="N7" s="66" t="s">
        <v>105</v>
      </c>
      <c r="O7" s="66" t="s">
        <v>106</v>
      </c>
      <c r="P7" s="66" t="s">
        <v>107</v>
      </c>
      <c r="Q7" s="66" t="s">
        <v>108</v>
      </c>
    </row>
    <row r="8" spans="1:66" ht="16.350000000000001" customHeight="1">
      <c r="A8" s="67">
        <v>1</v>
      </c>
      <c r="B8" s="46" t="s">
        <v>109</v>
      </c>
      <c r="C8" s="68" t="s">
        <v>110</v>
      </c>
      <c r="D8" s="19">
        <v>0.02</v>
      </c>
      <c r="E8" s="69">
        <v>1</v>
      </c>
      <c r="F8" s="69">
        <v>0</v>
      </c>
      <c r="G8" s="70">
        <v>1</v>
      </c>
      <c r="H8" s="70">
        <v>1</v>
      </c>
      <c r="I8" s="70">
        <v>0</v>
      </c>
      <c r="J8" s="70">
        <v>4000</v>
      </c>
      <c r="K8" s="71">
        <v>5</v>
      </c>
      <c r="L8" s="71">
        <v>700</v>
      </c>
      <c r="M8" s="71">
        <f>(E8*N$18)+(K8*P$18)+(K8*Q$18)</f>
        <v>15</v>
      </c>
      <c r="N8" s="71">
        <f>(N$19*E8)</f>
        <v>20</v>
      </c>
      <c r="O8" s="71">
        <f>(P$19*K8)</f>
        <v>10</v>
      </c>
      <c r="P8" s="71">
        <f>(Q$19*K8)</f>
        <v>10</v>
      </c>
      <c r="Q8" s="71">
        <f>(N$21*(G8+H8+I8))+(P$21*K8)</f>
        <v>54</v>
      </c>
    </row>
    <row r="9" spans="1:66" ht="16.350000000000001" customHeight="1">
      <c r="A9" s="67">
        <v>2</v>
      </c>
      <c r="B9" s="46" t="s">
        <v>111</v>
      </c>
      <c r="C9" s="68" t="s">
        <v>112</v>
      </c>
      <c r="D9" s="19">
        <v>0.02</v>
      </c>
      <c r="E9" s="69">
        <v>1</v>
      </c>
      <c r="F9" s="69">
        <v>0</v>
      </c>
      <c r="G9" s="70">
        <v>1</v>
      </c>
      <c r="H9" s="70">
        <v>0</v>
      </c>
      <c r="I9" s="70">
        <v>0</v>
      </c>
      <c r="J9" s="70">
        <v>3000</v>
      </c>
      <c r="K9" s="71">
        <v>2</v>
      </c>
      <c r="L9" s="71">
        <v>700</v>
      </c>
      <c r="M9" s="71">
        <f t="shared" ref="M9:M13" si="0">(N$18*E9)+(K9*P$18)+(K9*Q$18)</f>
        <v>9</v>
      </c>
      <c r="N9" s="71">
        <f t="shared" ref="N9:N13" si="1">(N$19*E9)</f>
        <v>20</v>
      </c>
      <c r="O9" s="71">
        <f t="shared" ref="O9:O13" si="2">(P$19*K9)</f>
        <v>4</v>
      </c>
      <c r="P9" s="71">
        <f t="shared" ref="P9:P13" si="3">(Q$19*K9)</f>
        <v>4</v>
      </c>
      <c r="Q9" s="71">
        <f t="shared" ref="Q9:Q13" si="4">(N$21*(G9+H9+I9))+(P$21*K9)</f>
        <v>26</v>
      </c>
    </row>
    <row r="10" spans="1:66" ht="15.75" customHeight="1">
      <c r="A10" s="67">
        <v>3</v>
      </c>
      <c r="B10" s="46" t="s">
        <v>113</v>
      </c>
      <c r="C10" s="68" t="s">
        <v>114</v>
      </c>
      <c r="D10" s="19">
        <v>0.03</v>
      </c>
      <c r="E10" s="69">
        <v>0</v>
      </c>
      <c r="F10" s="69">
        <v>1</v>
      </c>
      <c r="G10" s="70">
        <v>0</v>
      </c>
      <c r="H10" s="70">
        <v>0</v>
      </c>
      <c r="I10" s="70">
        <v>1</v>
      </c>
      <c r="J10" s="70">
        <v>4000</v>
      </c>
      <c r="K10" s="71">
        <v>0</v>
      </c>
      <c r="L10" s="71">
        <v>0</v>
      </c>
      <c r="M10" s="71">
        <f>(N$18*F10)+(K10*P$18)+(K10*Q$18)</f>
        <v>5</v>
      </c>
      <c r="N10" s="71">
        <f>(N$19*F10)</f>
        <v>20</v>
      </c>
      <c r="O10" s="71">
        <f t="shared" si="2"/>
        <v>0</v>
      </c>
      <c r="P10" s="71">
        <f t="shared" si="3"/>
        <v>0</v>
      </c>
      <c r="Q10" s="71">
        <f t="shared" si="4"/>
        <v>22</v>
      </c>
    </row>
    <row r="11" spans="1:66" ht="15.75" customHeight="1">
      <c r="A11" s="67">
        <v>4</v>
      </c>
      <c r="B11" s="46" t="s">
        <v>115</v>
      </c>
      <c r="C11" s="68" t="s">
        <v>116</v>
      </c>
      <c r="D11" s="19">
        <v>0.05</v>
      </c>
      <c r="E11" s="69">
        <v>1</v>
      </c>
      <c r="F11" s="69">
        <v>0</v>
      </c>
      <c r="G11" s="70">
        <v>1</v>
      </c>
      <c r="H11" s="70">
        <v>0</v>
      </c>
      <c r="I11" s="70">
        <v>0</v>
      </c>
      <c r="J11" s="70">
        <v>3000</v>
      </c>
      <c r="K11" s="71">
        <v>2</v>
      </c>
      <c r="L11" s="71">
        <v>700</v>
      </c>
      <c r="M11" s="71">
        <f t="shared" si="0"/>
        <v>9</v>
      </c>
      <c r="N11" s="71">
        <f t="shared" si="1"/>
        <v>20</v>
      </c>
      <c r="O11" s="71">
        <f t="shared" si="2"/>
        <v>4</v>
      </c>
      <c r="P11" s="71">
        <f t="shared" si="3"/>
        <v>4</v>
      </c>
      <c r="Q11" s="71">
        <f t="shared" si="4"/>
        <v>26</v>
      </c>
    </row>
    <row r="12" spans="1:66" ht="15.75" customHeight="1">
      <c r="A12" s="67">
        <v>5</v>
      </c>
      <c r="B12" s="46" t="s">
        <v>117</v>
      </c>
      <c r="C12" s="68" t="s">
        <v>118</v>
      </c>
      <c r="D12" s="19">
        <v>0.03</v>
      </c>
      <c r="E12" s="69">
        <v>1</v>
      </c>
      <c r="F12" s="69">
        <v>0</v>
      </c>
      <c r="G12" s="70">
        <v>1</v>
      </c>
      <c r="H12" s="70">
        <v>0</v>
      </c>
      <c r="I12" s="70">
        <v>0</v>
      </c>
      <c r="J12" s="70">
        <v>3000</v>
      </c>
      <c r="K12" s="71">
        <v>2</v>
      </c>
      <c r="L12" s="71">
        <v>700</v>
      </c>
      <c r="M12" s="71">
        <f t="shared" si="0"/>
        <v>9</v>
      </c>
      <c r="N12" s="71">
        <f t="shared" si="1"/>
        <v>20</v>
      </c>
      <c r="O12" s="71">
        <f t="shared" si="2"/>
        <v>4</v>
      </c>
      <c r="P12" s="71">
        <f t="shared" si="3"/>
        <v>4</v>
      </c>
      <c r="Q12" s="71">
        <f t="shared" si="4"/>
        <v>26</v>
      </c>
    </row>
    <row r="13" spans="1:66" ht="15.75" customHeight="1">
      <c r="A13" s="67">
        <v>6</v>
      </c>
      <c r="B13" s="46" t="s">
        <v>119</v>
      </c>
      <c r="C13" s="68" t="s">
        <v>120</v>
      </c>
      <c r="D13" s="19">
        <v>0.05</v>
      </c>
      <c r="E13" s="69">
        <v>1</v>
      </c>
      <c r="F13" s="69">
        <v>0</v>
      </c>
      <c r="G13" s="70">
        <v>1</v>
      </c>
      <c r="H13" s="70">
        <v>0</v>
      </c>
      <c r="I13" s="70">
        <v>0</v>
      </c>
      <c r="J13" s="70">
        <v>3000</v>
      </c>
      <c r="K13" s="71">
        <v>2</v>
      </c>
      <c r="L13" s="71">
        <v>700</v>
      </c>
      <c r="M13" s="71">
        <f t="shared" si="0"/>
        <v>9</v>
      </c>
      <c r="N13" s="71">
        <f t="shared" si="1"/>
        <v>20</v>
      </c>
      <c r="O13" s="71">
        <f t="shared" si="2"/>
        <v>4</v>
      </c>
      <c r="P13" s="71">
        <f t="shared" si="3"/>
        <v>4</v>
      </c>
      <c r="Q13" s="71">
        <f t="shared" si="4"/>
        <v>26</v>
      </c>
    </row>
    <row r="14" spans="1:66" ht="15.75" customHeight="1">
      <c r="A14" s="72" t="s">
        <v>121</v>
      </c>
      <c r="B14" s="36" t="s">
        <v>122</v>
      </c>
      <c r="C14" s="73"/>
      <c r="D14" s="36"/>
      <c r="E14" s="74">
        <f>SUM(E8:E13)</f>
        <v>5</v>
      </c>
      <c r="F14" s="74">
        <f>SUM(F8:F13)</f>
        <v>1</v>
      </c>
      <c r="G14" s="74">
        <f>SUM(G8:G13)</f>
        <v>5</v>
      </c>
      <c r="H14" s="74">
        <f>SUM(H8:H13)</f>
        <v>1</v>
      </c>
      <c r="I14" s="74">
        <f>SUM(I8:I13)</f>
        <v>1</v>
      </c>
      <c r="J14" s="74">
        <f t="shared" ref="J14:K14" si="5">SUM(J8:J13)</f>
        <v>20000</v>
      </c>
      <c r="K14" s="74">
        <f t="shared" si="5"/>
        <v>13</v>
      </c>
      <c r="L14" s="74">
        <f>(K8*L8)+(K9*L9)+(K10*L10)+(K11*L11)+(K12*L12)+(K13*L13)</f>
        <v>9100</v>
      </c>
      <c r="M14" s="74">
        <f>SUM(M8:M13)</f>
        <v>56</v>
      </c>
      <c r="N14" s="74">
        <f>SUM(N8:N13)</f>
        <v>120</v>
      </c>
      <c r="O14" s="74">
        <f>SUM(O8:O13)</f>
        <v>26</v>
      </c>
      <c r="P14" s="74">
        <f>SUM(P8:P13)</f>
        <v>26</v>
      </c>
      <c r="Q14" s="74">
        <f>SUM(Q8:Q13)</f>
        <v>180</v>
      </c>
    </row>
    <row r="15" spans="1:66" ht="14.65" customHeight="1">
      <c r="A15" s="75"/>
      <c r="E15" s="76"/>
      <c r="F15" s="76"/>
      <c r="G15" s="76"/>
      <c r="H15" s="77"/>
      <c r="I15" s="77"/>
      <c r="J15" s="77"/>
      <c r="K15" s="77"/>
      <c r="L15" s="77"/>
      <c r="M15" s="77"/>
      <c r="N15" s="77"/>
      <c r="O15" s="77"/>
      <c r="P15" s="78"/>
      <c r="Q15" s="78"/>
    </row>
    <row r="16" spans="1:66" ht="14.65" customHeight="1">
      <c r="A16" s="75"/>
      <c r="E16" s="76"/>
      <c r="F16" s="76"/>
      <c r="G16" s="76"/>
      <c r="H16" s="77"/>
      <c r="I16" s="77"/>
      <c r="J16" s="77"/>
      <c r="K16" s="77"/>
      <c r="L16" s="77"/>
      <c r="M16" s="434" t="s">
        <v>123</v>
      </c>
      <c r="N16" s="432" t="s">
        <v>124</v>
      </c>
      <c r="O16" s="435" t="s">
        <v>125</v>
      </c>
      <c r="P16" s="432" t="s">
        <v>126</v>
      </c>
      <c r="Q16" s="433" t="s">
        <v>127</v>
      </c>
      <c r="BM16" s="45"/>
      <c r="BN16" s="45"/>
    </row>
    <row r="17" spans="13:66" ht="14.65" customHeight="1">
      <c r="M17" s="436" t="s">
        <v>128</v>
      </c>
      <c r="N17" s="429" t="s">
        <v>129</v>
      </c>
      <c r="O17" s="436" t="s">
        <v>130</v>
      </c>
      <c r="P17" s="429" t="s">
        <v>131</v>
      </c>
      <c r="Q17" s="429" t="s">
        <v>131</v>
      </c>
      <c r="BM17" s="45"/>
      <c r="BN17" s="45"/>
    </row>
    <row r="18" spans="13:66" ht="14.65" customHeight="1">
      <c r="M18" s="437" t="s">
        <v>132</v>
      </c>
      <c r="N18" s="430">
        <v>5</v>
      </c>
      <c r="O18" s="437" t="s">
        <v>132</v>
      </c>
      <c r="P18" s="430">
        <v>1</v>
      </c>
      <c r="Q18" s="430">
        <v>1</v>
      </c>
      <c r="BM18" s="45"/>
      <c r="BN18" s="45"/>
    </row>
    <row r="19" spans="13:66" ht="14.65" customHeight="1">
      <c r="M19" s="438" t="s">
        <v>133</v>
      </c>
      <c r="N19" s="430">
        <v>20</v>
      </c>
      <c r="O19" s="438" t="s">
        <v>133</v>
      </c>
      <c r="P19" s="430">
        <v>2</v>
      </c>
      <c r="Q19" s="430">
        <v>2</v>
      </c>
      <c r="BM19" s="45"/>
      <c r="BN19" s="45"/>
    </row>
    <row r="20" spans="13:66" ht="14.65" customHeight="1">
      <c r="M20" s="431"/>
      <c r="N20" s="432" t="s">
        <v>129</v>
      </c>
      <c r="O20" s="431"/>
      <c r="P20" s="477" t="s">
        <v>131</v>
      </c>
      <c r="Q20" s="477"/>
      <c r="BM20" s="45"/>
      <c r="BN20" s="45"/>
    </row>
    <row r="21" spans="13:66" ht="14.65" customHeight="1">
      <c r="M21" s="438" t="s">
        <v>134</v>
      </c>
      <c r="N21" s="430">
        <v>22</v>
      </c>
      <c r="O21" s="438" t="s">
        <v>134</v>
      </c>
      <c r="P21" s="478">
        <v>2</v>
      </c>
      <c r="Q21" s="478"/>
      <c r="BM21" s="45"/>
      <c r="BN21" s="45"/>
    </row>
  </sheetData>
  <mergeCells count="10">
    <mergeCell ref="P20:Q20"/>
    <mergeCell ref="P21:Q21"/>
    <mergeCell ref="A1:Q1"/>
    <mergeCell ref="A2:Q2"/>
    <mergeCell ref="A3:Q3"/>
    <mergeCell ref="A4:Q4"/>
    <mergeCell ref="E6:F6"/>
    <mergeCell ref="K6:Q6"/>
    <mergeCell ref="G6:J6"/>
    <mergeCell ref="A6:D6"/>
  </mergeCells>
  <pageMargins left="0.78749999999999998" right="0.78749999999999998" top="1.1513888888888899" bottom="1.1513888888888899" header="0.78749999999999998" footer="0.78749999999999998"/>
  <pageSetup paperSize="9" firstPageNumber="0" orientation="landscape" horizontalDpi="300" verticalDpi="300" r:id="rId1"/>
  <headerFooter>
    <oddHeader>&amp;C&amp;"Times New Roman1,Regular"&amp;12&amp;A</oddHeader>
    <oddFooter>&amp;C&amp;"Times New Roman1,Regular"&amp;12Página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6E0B4"/>
  </sheetPr>
  <dimension ref="A1:AMG128"/>
  <sheetViews>
    <sheetView showGridLines="0" view="pageBreakPreview" zoomScaleNormal="87" workbookViewId="0">
      <pane ySplit="11" topLeftCell="A117" activePane="bottomLeft" state="frozen"/>
      <selection pane="bottomLeft" activeCell="E124" sqref="E124:F124"/>
    </sheetView>
  </sheetViews>
  <sheetFormatPr defaultRowHeight="15"/>
  <cols>
    <col min="1" max="1" width="55.75" style="233" customWidth="1"/>
    <col min="2" max="2" width="11.625" style="233" customWidth="1"/>
    <col min="3" max="3" width="18.125" style="233" customWidth="1"/>
    <col min="4" max="4" width="20.375" style="233" customWidth="1"/>
    <col min="5" max="5" width="20.75" style="233" customWidth="1"/>
    <col min="6" max="1017" width="9" style="233" customWidth="1"/>
    <col min="1018" max="1021" width="8.375" style="234" customWidth="1"/>
    <col min="1022" max="16384" width="9" style="294"/>
  </cols>
  <sheetData>
    <row r="1" spans="1:4" ht="15.75">
      <c r="A1" s="489" t="s">
        <v>135</v>
      </c>
      <c r="B1" s="490"/>
      <c r="C1" s="491"/>
      <c r="D1" s="492"/>
    </row>
    <row r="2" spans="1:4" ht="15.75">
      <c r="A2" s="493" t="s">
        <v>136</v>
      </c>
      <c r="B2" s="494"/>
      <c r="C2" s="495"/>
      <c r="D2" s="496"/>
    </row>
    <row r="3" spans="1:4" ht="15.75" customHeight="1">
      <c r="A3" s="493" t="s">
        <v>137</v>
      </c>
      <c r="B3" s="494"/>
      <c r="C3" s="495"/>
      <c r="D3" s="496"/>
    </row>
    <row r="4" spans="1:4" ht="15.75">
      <c r="A4" s="235"/>
      <c r="B4" s="299"/>
      <c r="C4" s="300" t="str">
        <f>C11</f>
        <v>CARREGADOR 44h</v>
      </c>
      <c r="D4" s="300" t="str">
        <f>D11</f>
        <v xml:space="preserve">MOTORISTA 44h </v>
      </c>
    </row>
    <row r="5" spans="1:4" ht="15.75">
      <c r="A5" s="236"/>
      <c r="B5" s="301" t="s">
        <v>138</v>
      </c>
      <c r="C5" s="502" t="s">
        <v>139</v>
      </c>
      <c r="D5" s="503"/>
    </row>
    <row r="6" spans="1:4">
      <c r="A6" s="237"/>
      <c r="B6" s="301" t="s">
        <v>140</v>
      </c>
      <c r="C6" s="302">
        <v>1885</v>
      </c>
      <c r="D6" s="302">
        <v>2303</v>
      </c>
    </row>
    <row r="7" spans="1:4">
      <c r="A7" s="237"/>
      <c r="B7" s="301" t="s">
        <v>141</v>
      </c>
      <c r="C7" s="303">
        <v>45413</v>
      </c>
      <c r="D7" s="303">
        <v>45413</v>
      </c>
    </row>
    <row r="8" spans="1:4">
      <c r="A8" s="237"/>
      <c r="B8" s="301" t="s">
        <v>142</v>
      </c>
      <c r="C8" s="303" t="s">
        <v>143</v>
      </c>
      <c r="D8" s="303" t="s">
        <v>143</v>
      </c>
    </row>
    <row r="9" spans="1:4">
      <c r="A9" s="296"/>
      <c r="B9" s="297" t="s">
        <v>144</v>
      </c>
      <c r="C9" s="304" t="s">
        <v>145</v>
      </c>
      <c r="D9" s="304" t="s">
        <v>146</v>
      </c>
    </row>
    <row r="10" spans="1:4">
      <c r="A10" s="237" t="s">
        <v>147</v>
      </c>
      <c r="B10" s="238"/>
      <c r="C10" s="238"/>
      <c r="D10" s="238"/>
    </row>
    <row r="11" spans="1:4" ht="66.75" customHeight="1">
      <c r="A11" s="396" t="s">
        <v>148</v>
      </c>
      <c r="B11" s="397" t="s">
        <v>149</v>
      </c>
      <c r="C11" s="397" t="s">
        <v>150</v>
      </c>
      <c r="D11" s="398" t="s">
        <v>151</v>
      </c>
    </row>
    <row r="12" spans="1:4" ht="15.75" customHeight="1">
      <c r="A12" s="497" t="s">
        <v>152</v>
      </c>
      <c r="B12" s="498"/>
      <c r="C12" s="498"/>
      <c r="D12" s="499"/>
    </row>
    <row r="13" spans="1:4" ht="15.75" customHeight="1">
      <c r="A13" s="239" t="s">
        <v>153</v>
      </c>
      <c r="B13" s="240" t="s">
        <v>154</v>
      </c>
      <c r="C13" s="240" t="s">
        <v>155</v>
      </c>
      <c r="D13" s="399" t="s">
        <v>155</v>
      </c>
    </row>
    <row r="14" spans="1:4" ht="15.75" customHeight="1">
      <c r="A14" s="241" t="s">
        <v>156</v>
      </c>
      <c r="B14" s="242"/>
      <c r="C14" s="326">
        <f>C6</f>
        <v>1885</v>
      </c>
      <c r="D14" s="400">
        <f>D6</f>
        <v>2303</v>
      </c>
    </row>
    <row r="15" spans="1:4" ht="15.75" customHeight="1">
      <c r="A15" s="241" t="s">
        <v>157</v>
      </c>
      <c r="B15" s="244"/>
      <c r="C15" s="243"/>
      <c r="D15" s="401"/>
    </row>
    <row r="16" spans="1:4" ht="15.75" customHeight="1">
      <c r="A16" s="241" t="s">
        <v>158</v>
      </c>
      <c r="B16" s="244"/>
      <c r="C16" s="243"/>
      <c r="D16" s="401"/>
    </row>
    <row r="17" spans="1:4" ht="15.75" customHeight="1">
      <c r="A17" s="241" t="s">
        <v>159</v>
      </c>
      <c r="B17" s="245"/>
      <c r="C17" s="243"/>
      <c r="D17" s="401"/>
    </row>
    <row r="18" spans="1:4" ht="15.75" customHeight="1">
      <c r="A18" s="241" t="s">
        <v>160</v>
      </c>
      <c r="B18" s="244"/>
      <c r="C18" s="243"/>
      <c r="D18" s="401"/>
    </row>
    <row r="19" spans="1:4" ht="15.75" customHeight="1">
      <c r="A19" s="246" t="s">
        <v>161</v>
      </c>
      <c r="B19" s="247"/>
      <c r="C19" s="248"/>
      <c r="D19" s="402"/>
    </row>
    <row r="20" spans="1:4" ht="15.75" customHeight="1">
      <c r="A20" s="241" t="s">
        <v>162</v>
      </c>
      <c r="B20" s="244"/>
      <c r="C20" s="243"/>
      <c r="D20" s="401"/>
    </row>
    <row r="21" spans="1:4" ht="15.75" customHeight="1">
      <c r="A21" s="249" t="s">
        <v>163</v>
      </c>
      <c r="B21" s="250"/>
      <c r="C21" s="325">
        <f>SUM(C14:C20)</f>
        <v>1885</v>
      </c>
      <c r="D21" s="403">
        <f>SUM(D14:D20)</f>
        <v>2303</v>
      </c>
    </row>
    <row r="22" spans="1:4" ht="15.75" customHeight="1">
      <c r="A22" s="500"/>
      <c r="B22" s="501"/>
      <c r="C22" s="321"/>
      <c r="D22" s="404"/>
    </row>
    <row r="23" spans="1:4" ht="15.75" customHeight="1">
      <c r="A23" s="486" t="s">
        <v>164</v>
      </c>
      <c r="B23" s="487"/>
      <c r="C23" s="487"/>
      <c r="D23" s="488"/>
    </row>
    <row r="24" spans="1:4" ht="15.75" customHeight="1">
      <c r="A24" s="253" t="s">
        <v>165</v>
      </c>
      <c r="B24" s="254" t="s">
        <v>154</v>
      </c>
      <c r="C24" s="254" t="s">
        <v>155</v>
      </c>
      <c r="D24" s="405" t="s">
        <v>155</v>
      </c>
    </row>
    <row r="25" spans="1:4" ht="15.75" customHeight="1">
      <c r="A25" s="255" t="s">
        <v>166</v>
      </c>
      <c r="B25" s="244">
        <f>1/12</f>
        <v>8.3333333333333329E-2</v>
      </c>
      <c r="C25" s="243">
        <f>ROUND($B25*C$21,2)</f>
        <v>157.08000000000001</v>
      </c>
      <c r="D25" s="401">
        <f>ROUND($B25*D$21,2)</f>
        <v>191.92</v>
      </c>
    </row>
    <row r="26" spans="1:4" ht="15.75" customHeight="1">
      <c r="A26" s="255" t="s">
        <v>167</v>
      </c>
      <c r="B26" s="244">
        <f>1/3*1/12</f>
        <v>2.7777777777777776E-2</v>
      </c>
      <c r="C26" s="243">
        <f>C$21*$B$26</f>
        <v>52.361111111111107</v>
      </c>
      <c r="D26" s="401">
        <f>D$21*$B$26</f>
        <v>63.972222222222221</v>
      </c>
    </row>
    <row r="27" spans="1:4" ht="15.75" customHeight="1">
      <c r="A27" s="249" t="s">
        <v>163</v>
      </c>
      <c r="B27" s="256">
        <f t="shared" ref="B27:D27" si="0">SUM(B25:B26)</f>
        <v>0.1111111111111111</v>
      </c>
      <c r="C27" s="251">
        <f t="shared" ref="C27" si="1">SUM(C25:C26)</f>
        <v>209.44111111111113</v>
      </c>
      <c r="D27" s="406">
        <f t="shared" si="0"/>
        <v>255.89222222222222</v>
      </c>
    </row>
    <row r="28" spans="1:4" ht="15.75" customHeight="1">
      <c r="A28" s="253" t="s">
        <v>168</v>
      </c>
      <c r="B28" s="254" t="s">
        <v>154</v>
      </c>
      <c r="C28" s="254" t="s">
        <v>155</v>
      </c>
      <c r="D28" s="405" t="s">
        <v>155</v>
      </c>
    </row>
    <row r="29" spans="1:4" ht="15.75" customHeight="1">
      <c r="A29" s="257" t="s">
        <v>169</v>
      </c>
      <c r="B29" s="258"/>
      <c r="C29" s="258"/>
      <c r="D29" s="407"/>
    </row>
    <row r="30" spans="1:4" ht="15.75" customHeight="1">
      <c r="A30" s="255" t="s">
        <v>170</v>
      </c>
      <c r="B30" s="244">
        <v>0.2</v>
      </c>
      <c r="C30" s="259">
        <f>ROUND(($C$21+$C$27)*$B30,2)</f>
        <v>418.89</v>
      </c>
      <c r="D30" s="408">
        <f t="shared" ref="D30:D37" si="2">ROUND(($D$21+$D$27)*$B30,2)</f>
        <v>511.78</v>
      </c>
    </row>
    <row r="31" spans="1:4" ht="15.75" customHeight="1">
      <c r="A31" s="255" t="s">
        <v>171</v>
      </c>
      <c r="B31" s="244">
        <v>2.5000000000000001E-2</v>
      </c>
      <c r="C31" s="259">
        <f>ROUND(($C$21+$C$27)*$B31,2)</f>
        <v>52.36</v>
      </c>
      <c r="D31" s="408">
        <f t="shared" si="2"/>
        <v>63.97</v>
      </c>
    </row>
    <row r="32" spans="1:4" ht="15.75" customHeight="1">
      <c r="A32" s="255" t="s">
        <v>172</v>
      </c>
      <c r="B32" s="244">
        <v>0.03</v>
      </c>
      <c r="C32" s="259">
        <f t="shared" ref="C32:C37" si="3">ROUND(($C$21+$C$27)*$B32,2)</f>
        <v>62.83</v>
      </c>
      <c r="D32" s="408">
        <f t="shared" si="2"/>
        <v>76.77</v>
      </c>
    </row>
    <row r="33" spans="1:4" ht="15.75" customHeight="1">
      <c r="A33" s="255" t="s">
        <v>173</v>
      </c>
      <c r="B33" s="244">
        <v>1.4999999999999999E-2</v>
      </c>
      <c r="C33" s="259">
        <f t="shared" si="3"/>
        <v>31.42</v>
      </c>
      <c r="D33" s="408">
        <f t="shared" si="2"/>
        <v>38.380000000000003</v>
      </c>
    </row>
    <row r="34" spans="1:4" ht="15.75" customHeight="1">
      <c r="A34" s="255" t="s">
        <v>174</v>
      </c>
      <c r="B34" s="244">
        <v>0.01</v>
      </c>
      <c r="C34" s="259">
        <f t="shared" si="3"/>
        <v>20.94</v>
      </c>
      <c r="D34" s="408">
        <f t="shared" si="2"/>
        <v>25.59</v>
      </c>
    </row>
    <row r="35" spans="1:4" ht="15.75" customHeight="1">
      <c r="A35" s="255" t="s">
        <v>175</v>
      </c>
      <c r="B35" s="244">
        <v>6.0000000000000001E-3</v>
      </c>
      <c r="C35" s="259">
        <f t="shared" si="3"/>
        <v>12.57</v>
      </c>
      <c r="D35" s="408">
        <f t="shared" si="2"/>
        <v>15.35</v>
      </c>
    </row>
    <row r="36" spans="1:4" ht="15.75" customHeight="1">
      <c r="A36" s="255" t="s">
        <v>176</v>
      </c>
      <c r="B36" s="244">
        <v>2E-3</v>
      </c>
      <c r="C36" s="259">
        <f t="shared" si="3"/>
        <v>4.1900000000000004</v>
      </c>
      <c r="D36" s="408">
        <f t="shared" si="2"/>
        <v>5.12</v>
      </c>
    </row>
    <row r="37" spans="1:4" ht="15.75" customHeight="1">
      <c r="A37" s="255" t="s">
        <v>177</v>
      </c>
      <c r="B37" s="244">
        <v>0.08</v>
      </c>
      <c r="C37" s="259">
        <f t="shared" si="3"/>
        <v>167.56</v>
      </c>
      <c r="D37" s="408">
        <f t="shared" si="2"/>
        <v>204.71</v>
      </c>
    </row>
    <row r="38" spans="1:4" ht="15.75" customHeight="1">
      <c r="A38" s="249" t="s">
        <v>163</v>
      </c>
      <c r="B38" s="256">
        <f>SUM(B30:B37)</f>
        <v>0.36800000000000005</v>
      </c>
      <c r="C38" s="251">
        <f>SUM(C29:C37)</f>
        <v>770.76000000000022</v>
      </c>
      <c r="D38" s="406">
        <f>SUM(D29:D37)</f>
        <v>941.67000000000007</v>
      </c>
    </row>
    <row r="39" spans="1:4" ht="15.75" customHeight="1">
      <c r="A39" s="253" t="s">
        <v>178</v>
      </c>
      <c r="B39" s="254" t="s">
        <v>179</v>
      </c>
      <c r="C39" s="254" t="s">
        <v>155</v>
      </c>
      <c r="D39" s="405" t="s">
        <v>155</v>
      </c>
    </row>
    <row r="40" spans="1:4" ht="15.75" customHeight="1">
      <c r="A40" s="255" t="s">
        <v>180</v>
      </c>
      <c r="B40" s="260">
        <f>'VT, Uniforme e Plano Celular'!E7</f>
        <v>6.2</v>
      </c>
      <c r="C40" s="243">
        <f>ROUND(($B$40*2*22)-(0.06*C$14),2)</f>
        <v>159.69999999999999</v>
      </c>
      <c r="D40" s="401">
        <f>ROUND(($B$40*2*22)-(0.06*D$14),2)</f>
        <v>134.62</v>
      </c>
    </row>
    <row r="41" spans="1:4" ht="15.75" customHeight="1">
      <c r="A41" s="255" t="s">
        <v>181</v>
      </c>
      <c r="B41" s="261">
        <v>33</v>
      </c>
      <c r="C41" s="259">
        <f>(ROUND(($B$41*22),2))</f>
        <v>726</v>
      </c>
      <c r="D41" s="408">
        <f>(ROUND(($B$41*22),2))</f>
        <v>726</v>
      </c>
    </row>
    <row r="42" spans="1:4" ht="15.75" customHeight="1">
      <c r="A42" s="255" t="s">
        <v>182</v>
      </c>
      <c r="B42" s="261"/>
      <c r="C42" s="259"/>
      <c r="D42" s="408"/>
    </row>
    <row r="43" spans="1:4" ht="15.75" customHeight="1">
      <c r="A43" s="262" t="s">
        <v>183</v>
      </c>
      <c r="B43" s="261"/>
      <c r="C43" s="259"/>
      <c r="D43" s="408"/>
    </row>
    <row r="44" spans="1:4" ht="15.75" customHeight="1">
      <c r="A44" s="255" t="s">
        <v>184</v>
      </c>
      <c r="B44" s="244"/>
      <c r="C44" s="259"/>
      <c r="D44" s="408"/>
    </row>
    <row r="45" spans="1:4" ht="15.75" customHeight="1">
      <c r="A45" s="255" t="s">
        <v>185</v>
      </c>
      <c r="B45" s="244"/>
      <c r="C45" s="259"/>
      <c r="D45" s="408"/>
    </row>
    <row r="46" spans="1:4" ht="15.75" customHeight="1">
      <c r="A46" s="249" t="s">
        <v>163</v>
      </c>
      <c r="B46" s="250"/>
      <c r="C46" s="251">
        <f>SUM(C40:C45)</f>
        <v>885.7</v>
      </c>
      <c r="D46" s="406">
        <f>SUM(D40:D45)</f>
        <v>860.62</v>
      </c>
    </row>
    <row r="47" spans="1:4" ht="15.75" customHeight="1">
      <c r="A47" s="239" t="s">
        <v>186</v>
      </c>
      <c r="B47" s="240" t="s">
        <v>154</v>
      </c>
      <c r="C47" s="240" t="s">
        <v>155</v>
      </c>
      <c r="D47" s="399" t="s">
        <v>155</v>
      </c>
    </row>
    <row r="48" spans="1:4" ht="15.75" customHeight="1">
      <c r="A48" s="255" t="s">
        <v>165</v>
      </c>
      <c r="B48" s="263">
        <f t="shared" ref="B48:D48" si="4">B27</f>
        <v>0.1111111111111111</v>
      </c>
      <c r="C48" s="264">
        <f t="shared" ref="C48" si="5">C27</f>
        <v>209.44111111111113</v>
      </c>
      <c r="D48" s="409">
        <f t="shared" si="4"/>
        <v>255.89222222222222</v>
      </c>
    </row>
    <row r="49" spans="1:4" ht="15.75" customHeight="1">
      <c r="A49" s="255" t="s">
        <v>187</v>
      </c>
      <c r="B49" s="263">
        <f t="shared" ref="B49:D49" si="6">B38</f>
        <v>0.36800000000000005</v>
      </c>
      <c r="C49" s="264">
        <f t="shared" ref="C49" si="7">C38</f>
        <v>770.76000000000022</v>
      </c>
      <c r="D49" s="409">
        <f t="shared" si="6"/>
        <v>941.67000000000007</v>
      </c>
    </row>
    <row r="50" spans="1:4" ht="15.75" customHeight="1">
      <c r="A50" s="255" t="s">
        <v>178</v>
      </c>
      <c r="B50" s="263"/>
      <c r="C50" s="264">
        <f>C46</f>
        <v>885.7</v>
      </c>
      <c r="D50" s="409">
        <f>D46</f>
        <v>860.62</v>
      </c>
    </row>
    <row r="51" spans="1:4" ht="15.75" customHeight="1">
      <c r="A51" s="249" t="s">
        <v>163</v>
      </c>
      <c r="B51" s="250"/>
      <c r="C51" s="251">
        <f>SUM(C48:C50)</f>
        <v>1865.9011111111113</v>
      </c>
      <c r="D51" s="406">
        <f>SUM(D48:D50)</f>
        <v>2058.1822222222222</v>
      </c>
    </row>
    <row r="52" spans="1:4" ht="15.75" customHeight="1">
      <c r="A52" s="500"/>
      <c r="B52" s="501"/>
      <c r="C52" s="252"/>
      <c r="D52" s="404"/>
    </row>
    <row r="53" spans="1:4" s="265" customFormat="1" ht="15.75" customHeight="1">
      <c r="A53" s="486" t="s">
        <v>188</v>
      </c>
      <c r="B53" s="487"/>
      <c r="C53" s="487"/>
      <c r="D53" s="488"/>
    </row>
    <row r="54" spans="1:4" ht="15.75" customHeight="1">
      <c r="A54" s="239" t="s">
        <v>189</v>
      </c>
      <c r="B54" s="240" t="s">
        <v>154</v>
      </c>
      <c r="C54" s="240" t="s">
        <v>155</v>
      </c>
      <c r="D54" s="399" t="s">
        <v>155</v>
      </c>
    </row>
    <row r="55" spans="1:4" ht="15.75" customHeight="1">
      <c r="A55" s="255" t="s">
        <v>190</v>
      </c>
      <c r="B55" s="263">
        <f>1/12*0.05</f>
        <v>4.1666666666666666E-3</v>
      </c>
      <c r="C55" s="266">
        <f t="shared" ref="C55:D60" si="8">C$21*$B55</f>
        <v>7.854166666666667</v>
      </c>
      <c r="D55" s="410">
        <f t="shared" si="8"/>
        <v>9.5958333333333332</v>
      </c>
    </row>
    <row r="56" spans="1:4" ht="15.75" customHeight="1">
      <c r="A56" s="255" t="s">
        <v>191</v>
      </c>
      <c r="B56" s="263">
        <f>B37*B55</f>
        <v>3.3333333333333332E-4</v>
      </c>
      <c r="C56" s="266">
        <f t="shared" si="8"/>
        <v>0.6283333333333333</v>
      </c>
      <c r="D56" s="410">
        <f t="shared" si="8"/>
        <v>0.76766666666666661</v>
      </c>
    </row>
    <row r="57" spans="1:4" ht="15.75" customHeight="1">
      <c r="A57" s="255" t="s">
        <v>192</v>
      </c>
      <c r="B57" s="263">
        <v>0</v>
      </c>
      <c r="C57" s="266">
        <f t="shared" si="8"/>
        <v>0</v>
      </c>
      <c r="D57" s="410">
        <f t="shared" si="8"/>
        <v>0</v>
      </c>
    </row>
    <row r="58" spans="1:4" ht="15.75" customHeight="1">
      <c r="A58" s="255" t="s">
        <v>193</v>
      </c>
      <c r="B58" s="263">
        <f>7/12*1/30</f>
        <v>1.9444444444444445E-2</v>
      </c>
      <c r="C58" s="266">
        <f t="shared" si="8"/>
        <v>36.652777777777779</v>
      </c>
      <c r="D58" s="410">
        <f t="shared" si="8"/>
        <v>44.780555555555559</v>
      </c>
    </row>
    <row r="59" spans="1:4" ht="15.75" customHeight="1">
      <c r="A59" s="255" t="s">
        <v>194</v>
      </c>
      <c r="B59" s="263">
        <f>B38*B58</f>
        <v>7.1555555555555565E-3</v>
      </c>
      <c r="C59" s="266">
        <f t="shared" si="8"/>
        <v>13.488222222222223</v>
      </c>
      <c r="D59" s="410">
        <f t="shared" si="8"/>
        <v>16.479244444444447</v>
      </c>
    </row>
    <row r="60" spans="1:4" ht="15.75" customHeight="1">
      <c r="A60" s="255" t="s">
        <v>195</v>
      </c>
      <c r="B60" s="263">
        <f>B37*40/100*90/100*(1+1/12+1/12+1/3*1/12)</f>
        <v>3.4399999999999993E-2</v>
      </c>
      <c r="C60" s="266">
        <f t="shared" si="8"/>
        <v>64.84399999999998</v>
      </c>
      <c r="D60" s="410">
        <f t="shared" si="8"/>
        <v>79.223199999999977</v>
      </c>
    </row>
    <row r="61" spans="1:4" ht="15.75" customHeight="1">
      <c r="A61" s="249" t="s">
        <v>163</v>
      </c>
      <c r="B61" s="256">
        <f t="shared" ref="B61:D61" si="9">SUM(B55:B60)</f>
        <v>6.5500000000000003E-2</v>
      </c>
      <c r="C61" s="267">
        <f t="shared" ref="C61" si="10">SUM(C55:C60)</f>
        <v>123.46749999999999</v>
      </c>
      <c r="D61" s="411">
        <f t="shared" si="9"/>
        <v>150.84649999999999</v>
      </c>
    </row>
    <row r="62" spans="1:4" ht="15.75" customHeight="1">
      <c r="A62" s="500"/>
      <c r="B62" s="501"/>
      <c r="C62" s="268"/>
      <c r="D62" s="412"/>
    </row>
    <row r="63" spans="1:4" ht="15.75" customHeight="1">
      <c r="A63" s="486" t="s">
        <v>196</v>
      </c>
      <c r="B63" s="487"/>
      <c r="C63" s="487"/>
      <c r="D63" s="488"/>
    </row>
    <row r="64" spans="1:4" ht="15.75" customHeight="1">
      <c r="A64" s="253" t="s">
        <v>197</v>
      </c>
      <c r="B64" s="254" t="s">
        <v>179</v>
      </c>
      <c r="C64" s="254" t="s">
        <v>155</v>
      </c>
      <c r="D64" s="405" t="s">
        <v>155</v>
      </c>
    </row>
    <row r="65" spans="1:4" ht="15.75" customHeight="1">
      <c r="A65" s="255" t="s">
        <v>198</v>
      </c>
      <c r="B65" s="244">
        <f>1/12</f>
        <v>8.3333333333333329E-2</v>
      </c>
      <c r="C65" s="259">
        <f t="shared" ref="C65:D69" si="11">$B65*(C$21+(C$51-C$40-C$41)+C$61)</f>
        <v>249.05571759259263</v>
      </c>
      <c r="D65" s="408">
        <f t="shared" si="11"/>
        <v>304.28406018518518</v>
      </c>
    </row>
    <row r="66" spans="1:4" ht="15.75" customHeight="1">
      <c r="A66" s="255" t="s">
        <v>199</v>
      </c>
      <c r="B66" s="244">
        <f>(2.96/30/12)</f>
        <v>8.2222222222222228E-3</v>
      </c>
      <c r="C66" s="259">
        <f t="shared" si="11"/>
        <v>24.573497469135809</v>
      </c>
      <c r="D66" s="408">
        <f t="shared" si="11"/>
        <v>30.022693938271608</v>
      </c>
    </row>
    <row r="67" spans="1:4" ht="15.75" customHeight="1">
      <c r="A67" s="255" t="s">
        <v>200</v>
      </c>
      <c r="B67" s="269">
        <f>(((20/30/12)*(0.89*0.01356)))</f>
        <v>6.7046666666666663E-4</v>
      </c>
      <c r="C67" s="259">
        <f t="shared" si="11"/>
        <v>2.0038026814629633</v>
      </c>
      <c r="D67" s="408">
        <f t="shared" si="11"/>
        <v>2.4481478346259258</v>
      </c>
    </row>
    <row r="68" spans="1:4" ht="15.75" customHeight="1">
      <c r="A68" s="255" t="s">
        <v>201</v>
      </c>
      <c r="B68" s="269">
        <f>((15/30/12)*(148775/46236176)*100)</f>
        <v>1.3407160517196173E-2</v>
      </c>
      <c r="C68" s="259">
        <f t="shared" si="11"/>
        <v>40.069559801872416</v>
      </c>
      <c r="D68" s="408">
        <f t="shared" si="11"/>
        <v>48.955022852723509</v>
      </c>
    </row>
    <row r="69" spans="1:4" ht="15.75" customHeight="1">
      <c r="A69" s="255" t="s">
        <v>202</v>
      </c>
      <c r="B69" s="244">
        <f>(((180/30/12)*(0.01356*0.11)*B38))</f>
        <v>2.7445440000000001E-4</v>
      </c>
      <c r="C69" s="259">
        <f t="shared" si="11"/>
        <v>0.82025325046133357</v>
      </c>
      <c r="D69" s="408">
        <f t="shared" si="11"/>
        <v>1.0021451900122669</v>
      </c>
    </row>
    <row r="70" spans="1:4" ht="15.75" customHeight="1">
      <c r="A70" s="255" t="s">
        <v>203</v>
      </c>
      <c r="B70" s="244"/>
      <c r="C70" s="259"/>
      <c r="D70" s="408"/>
    </row>
    <row r="71" spans="1:4" ht="15.75" customHeight="1">
      <c r="A71" s="270" t="s">
        <v>204</v>
      </c>
      <c r="B71" s="271">
        <f t="shared" ref="B71:D71" si="12">SUM(B65:B70)</f>
        <v>0.10590763713941839</v>
      </c>
      <c r="C71" s="272">
        <f t="shared" ref="C71" si="13">SUM(C65:C70)</f>
        <v>316.52283079552512</v>
      </c>
      <c r="D71" s="413">
        <f t="shared" si="12"/>
        <v>386.71207000081847</v>
      </c>
    </row>
    <row r="72" spans="1:4" ht="15.75" customHeight="1">
      <c r="A72" s="253" t="s">
        <v>205</v>
      </c>
      <c r="B72" s="254" t="s">
        <v>179</v>
      </c>
      <c r="C72" s="254" t="s">
        <v>155</v>
      </c>
      <c r="D72" s="405" t="s">
        <v>155</v>
      </c>
    </row>
    <row r="73" spans="1:4" ht="15.75" customHeight="1">
      <c r="A73" s="255" t="s">
        <v>206</v>
      </c>
      <c r="B73" s="244">
        <v>0</v>
      </c>
      <c r="C73" s="259"/>
      <c r="D73" s="408"/>
    </row>
    <row r="74" spans="1:4" ht="15.75" customHeight="1">
      <c r="A74" s="270" t="s">
        <v>163</v>
      </c>
      <c r="B74" s="271"/>
      <c r="C74" s="271"/>
      <c r="D74" s="413"/>
    </row>
    <row r="75" spans="1:4" ht="15.75" customHeight="1">
      <c r="A75" s="239" t="s">
        <v>207</v>
      </c>
      <c r="B75" s="240" t="s">
        <v>179</v>
      </c>
      <c r="C75" s="240" t="s">
        <v>155</v>
      </c>
      <c r="D75" s="399" t="s">
        <v>155</v>
      </c>
    </row>
    <row r="76" spans="1:4" ht="15.75" customHeight="1">
      <c r="A76" s="255" t="s">
        <v>197</v>
      </c>
      <c r="B76" s="263">
        <f t="shared" ref="B76:D76" si="14">B71</f>
        <v>0.10590763713941839</v>
      </c>
      <c r="C76" s="264">
        <f t="shared" ref="C76" si="15">C71</f>
        <v>316.52283079552512</v>
      </c>
      <c r="D76" s="409">
        <f t="shared" si="14"/>
        <v>386.71207000081847</v>
      </c>
    </row>
    <row r="77" spans="1:4" ht="15.75" customHeight="1">
      <c r="A77" s="255" t="s">
        <v>205</v>
      </c>
      <c r="B77" s="263">
        <f>B73</f>
        <v>0</v>
      </c>
      <c r="C77" s="264">
        <f>C73</f>
        <v>0</v>
      </c>
      <c r="D77" s="409">
        <f>D73</f>
        <v>0</v>
      </c>
    </row>
    <row r="78" spans="1:4" ht="15.75" customHeight="1">
      <c r="A78" s="249" t="s">
        <v>163</v>
      </c>
      <c r="B78" s="250"/>
      <c r="C78" s="251">
        <f>SUM(C76:C77)</f>
        <v>316.52283079552512</v>
      </c>
      <c r="D78" s="406">
        <f>SUM(D76:D77)</f>
        <v>386.71207000081847</v>
      </c>
    </row>
    <row r="79" spans="1:4" ht="15.75" customHeight="1">
      <c r="A79" s="273"/>
      <c r="B79" s="252"/>
      <c r="C79" s="252"/>
      <c r="D79" s="404"/>
    </row>
    <row r="80" spans="1:4" ht="15.75" customHeight="1">
      <c r="A80" s="486" t="s">
        <v>208</v>
      </c>
      <c r="B80" s="487"/>
      <c r="C80" s="487"/>
      <c r="D80" s="488"/>
    </row>
    <row r="81" spans="1:5" ht="15.75" customHeight="1">
      <c r="A81" s="239" t="s">
        <v>209</v>
      </c>
      <c r="B81" s="240" t="s">
        <v>179</v>
      </c>
      <c r="C81" s="240" t="s">
        <v>155</v>
      </c>
      <c r="D81" s="399" t="s">
        <v>155</v>
      </c>
    </row>
    <row r="82" spans="1:5" ht="15.75" customHeight="1">
      <c r="A82" s="255" t="s">
        <v>210</v>
      </c>
      <c r="B82" s="274">
        <f>'VT, Uniforme e Plano Celular'!E26</f>
        <v>79.64</v>
      </c>
      <c r="C82" s="243">
        <f>B82</f>
        <v>79.64</v>
      </c>
      <c r="D82" s="401">
        <f>B82</f>
        <v>79.64</v>
      </c>
    </row>
    <row r="83" spans="1:5" ht="15.75" customHeight="1">
      <c r="A83" s="275" t="s">
        <v>211</v>
      </c>
      <c r="B83" s="274"/>
      <c r="C83" s="243"/>
      <c r="D83" s="401"/>
    </row>
    <row r="84" spans="1:5" ht="15.75" customHeight="1">
      <c r="A84" s="275" t="s">
        <v>212</v>
      </c>
      <c r="B84" s="276"/>
      <c r="C84" s="243"/>
      <c r="D84" s="401"/>
    </row>
    <row r="85" spans="1:5" ht="15.75" customHeight="1">
      <c r="A85" s="275" t="s">
        <v>213</v>
      </c>
      <c r="B85" s="274"/>
      <c r="C85" s="243"/>
      <c r="D85" s="401"/>
    </row>
    <row r="86" spans="1:5" ht="15.75" customHeight="1">
      <c r="A86" s="275" t="s">
        <v>214</v>
      </c>
      <c r="B86" s="244"/>
      <c r="C86" s="243"/>
      <c r="D86" s="401"/>
    </row>
    <row r="87" spans="1:5" s="234" customFormat="1" ht="15.75" customHeight="1">
      <c r="A87" s="275" t="s">
        <v>162</v>
      </c>
      <c r="B87" s="274"/>
      <c r="C87" s="243"/>
      <c r="D87" s="401"/>
    </row>
    <row r="88" spans="1:5" s="234" customFormat="1" ht="15.75" customHeight="1">
      <c r="A88" s="249" t="s">
        <v>163</v>
      </c>
      <c r="B88" s="250"/>
      <c r="C88" s="251">
        <f>SUM(C82:C87)</f>
        <v>79.64</v>
      </c>
      <c r="D88" s="406">
        <f>SUM(D82:D87)</f>
        <v>79.64</v>
      </c>
    </row>
    <row r="89" spans="1:5" s="234" customFormat="1" ht="15.75" customHeight="1">
      <c r="A89" s="277"/>
      <c r="B89" s="278"/>
      <c r="C89" s="278"/>
      <c r="D89" s="404"/>
    </row>
    <row r="90" spans="1:5" s="234" customFormat="1" ht="15.75" customHeight="1">
      <c r="A90" s="486" t="s">
        <v>215</v>
      </c>
      <c r="B90" s="487"/>
      <c r="C90" s="487"/>
      <c r="D90" s="488"/>
    </row>
    <row r="91" spans="1:5" s="234" customFormat="1" ht="15.75" customHeight="1">
      <c r="A91" s="239" t="s">
        <v>216</v>
      </c>
      <c r="B91" s="240" t="s">
        <v>154</v>
      </c>
      <c r="C91" s="240" t="s">
        <v>155</v>
      </c>
      <c r="D91" s="399" t="s">
        <v>155</v>
      </c>
    </row>
    <row r="92" spans="1:5" s="234" customFormat="1" ht="15.75" customHeight="1">
      <c r="A92" s="241" t="s">
        <v>217</v>
      </c>
      <c r="B92" s="244">
        <v>0.06</v>
      </c>
      <c r="C92" s="327">
        <f>(C$21+C$51+C$61+C$78+C$88)*$B$92</f>
        <v>256.23188651439824</v>
      </c>
      <c r="D92" s="414">
        <f>(D$21+D$51+D$61+D$78+D$88)*$B$92</f>
        <v>298.7028475333824</v>
      </c>
    </row>
    <row r="93" spans="1:5" s="234" customFormat="1" ht="15.75" customHeight="1">
      <c r="A93" s="241" t="s">
        <v>218</v>
      </c>
      <c r="B93" s="244">
        <f>[2]MC!B70</f>
        <v>6.7900000000000002E-2</v>
      </c>
      <c r="C93" s="327">
        <f>(C$21+C$51+C$61+C$78+C$88+C$92)*$B$93</f>
        <v>307.36722999978832</v>
      </c>
      <c r="D93" s="414">
        <f>(D$21+D$51+D$61+D$78+D$88+D$92)*$B$93</f>
        <v>358.31397913946108</v>
      </c>
    </row>
    <row r="94" spans="1:5" s="234" customFormat="1" ht="15.75" customHeight="1">
      <c r="A94" s="279" t="s">
        <v>219</v>
      </c>
      <c r="B94" s="280">
        <f>B95+B96</f>
        <v>5.6499999999999995E-2</v>
      </c>
      <c r="C94" s="328">
        <f>((C$21+C$51+C$61+C$78+C$88+C$92+C$93)/(1-($B$94)))*$B$94</f>
        <v>289.48423587787653</v>
      </c>
      <c r="D94" s="415">
        <f>((D$21+D$51+D$61+D$78+D$88+D$92+D$93)/(1-($B$94)))*$B$94</f>
        <v>337.46684204304972</v>
      </c>
    </row>
    <row r="95" spans="1:5" s="234" customFormat="1" ht="15.75" customHeight="1">
      <c r="A95" s="241" t="s">
        <v>220</v>
      </c>
      <c r="B95" s="244">
        <f>0.0065+0.03</f>
        <v>3.6499999999999998E-2</v>
      </c>
      <c r="C95" s="329">
        <f>((C$21+C$51+C$61+C$78+C$88+C$92+C$93)/(1-($B$94)))*$B$95</f>
        <v>187.01193999190255</v>
      </c>
      <c r="D95" s="416">
        <f>((D$21+D$51+D$61+D$78+D$88+D$92+D$93)/(1-($B$94)))*$B$95</f>
        <v>218.00955282427108</v>
      </c>
    </row>
    <row r="96" spans="1:5" s="234" customFormat="1" ht="15.75" customHeight="1">
      <c r="A96" s="241" t="s">
        <v>221</v>
      </c>
      <c r="B96" s="244">
        <v>0.02</v>
      </c>
      <c r="C96" s="329">
        <f>((C$21+C$51+C$61+C$78+C$88+C$92+C$93)/(1-($B$94)))*$B$96</f>
        <v>102.47229588597401</v>
      </c>
      <c r="D96" s="416">
        <f>((D$21+D$51+D$61+D$78+D$88+D$92+D$93)/(1-($B$94)))*$B$96</f>
        <v>119.45728921877868</v>
      </c>
      <c r="E96" s="428"/>
    </row>
    <row r="97" spans="1:5" s="234" customFormat="1" ht="15.75" customHeight="1">
      <c r="A97" s="279" t="s">
        <v>222</v>
      </c>
      <c r="B97" s="280">
        <f>B98+B99</f>
        <v>6.6500000000000004E-2</v>
      </c>
      <c r="C97" s="328">
        <f>((C$21+C$51+C$61+C$78+C$88+C$92+C$93)/(1-($B$97)))*$B$97</f>
        <v>344.37030758969979</v>
      </c>
      <c r="D97" s="415">
        <f>((D$21+D$51+D$61+D$78+D$88+D$92+D$93)/(1-($B$97)))*$B$97</f>
        <v>401.45039277619315</v>
      </c>
      <c r="E97" s="428"/>
    </row>
    <row r="98" spans="1:5" s="234" customFormat="1" ht="15.75" customHeight="1">
      <c r="A98" s="241" t="s">
        <v>220</v>
      </c>
      <c r="B98" s="244">
        <f>B95</f>
        <v>3.6499999999999998E-2</v>
      </c>
      <c r="C98" s="329">
        <f>((C$21+C$51+C$61+C$78+C$88+C$92+C$93)/(1-($B$97)))*$B$98</f>
        <v>189.01528160938409</v>
      </c>
      <c r="D98" s="416">
        <f>((D$21+D$51+D$61+D$78+D$88+D$92+D$93)/(1-($B$97)))*$B$98</f>
        <v>220.34495242603083</v>
      </c>
    </row>
    <row r="99" spans="1:5" s="234" customFormat="1" ht="15.75" customHeight="1">
      <c r="A99" s="241" t="s">
        <v>221</v>
      </c>
      <c r="B99" s="244">
        <v>0.03</v>
      </c>
      <c r="C99" s="329">
        <f>((C$21+C$51+C$61+C$78+C$88+C$92+C$93)/(1-($B$97)))*$B$99</f>
        <v>155.3550259803157</v>
      </c>
      <c r="D99" s="416">
        <f>((D$21+D$51+D$61+D$78+D$88+D$92+D$93)/(1-($B$97)))*$B$99</f>
        <v>181.10544035016233</v>
      </c>
    </row>
    <row r="100" spans="1:5" s="234" customFormat="1" ht="15.75" customHeight="1">
      <c r="A100" s="279" t="s">
        <v>223</v>
      </c>
      <c r="B100" s="280">
        <f>B101+B102</f>
        <v>8.6499999999999994E-2</v>
      </c>
      <c r="C100" s="328">
        <f>((C$21+C$51+C$61+C$78+C$88+C$92+C$93)/(1-($B$100)))*$B$100</f>
        <v>457.74744751330178</v>
      </c>
      <c r="D100" s="415">
        <f>((D$21+D$51+D$61+D$78+D$88+D$92+D$93)/(1-($B$100)))*$B$100</f>
        <v>533.62002631033818</v>
      </c>
      <c r="E100" s="428"/>
    </row>
    <row r="101" spans="1:5" s="234" customFormat="1" ht="15.75" customHeight="1">
      <c r="A101" s="241" t="s">
        <v>220</v>
      </c>
      <c r="B101" s="244">
        <f>B95</f>
        <v>3.6499999999999998E-2</v>
      </c>
      <c r="C101" s="329">
        <f>((C$21+C$51+C$61+C$78+C$88+C$92+C$93)/(1-($B$100)))*$B$101</f>
        <v>193.15354721659557</v>
      </c>
      <c r="D101" s="416">
        <f>((D$21+D$51+D$61+D$78+D$88+D$92+D$93)/(1-($B$100)))*$B$101</f>
        <v>225.16914405002711</v>
      </c>
    </row>
    <row r="102" spans="1:5" s="234" customFormat="1" ht="15.75" customHeight="1">
      <c r="A102" s="241" t="s">
        <v>221</v>
      </c>
      <c r="B102" s="244">
        <v>0.05</v>
      </c>
      <c r="C102" s="329">
        <f>((C$21+C$51+C$61+C$78+C$88+C$92+C$93)/(1-($B$100)))*$B$102</f>
        <v>264.59390029670629</v>
      </c>
      <c r="D102" s="416">
        <f>((D$21+D$51+D$61+D$78+D$88+D$92+D$93)/(1-($B$100)))*$B$102</f>
        <v>308.45088226031112</v>
      </c>
    </row>
    <row r="103" spans="1:5" s="234" customFormat="1" ht="15.75" customHeight="1">
      <c r="A103" s="509" t="s">
        <v>224</v>
      </c>
      <c r="B103" s="281">
        <f>B96</f>
        <v>0.02</v>
      </c>
      <c r="C103" s="330">
        <f>C$92+C$93+C$94</f>
        <v>853.08335239206303</v>
      </c>
      <c r="D103" s="417">
        <f>D$92+D$93+D$94</f>
        <v>994.48366871589326</v>
      </c>
    </row>
    <row r="104" spans="1:5" s="234" customFormat="1" ht="15.75" customHeight="1">
      <c r="A104" s="509"/>
      <c r="B104" s="281">
        <f>B99</f>
        <v>0.03</v>
      </c>
      <c r="C104" s="330">
        <f>C$92+C$93+C$97</f>
        <v>907.96942410388635</v>
      </c>
      <c r="D104" s="417">
        <f>D$92+D$93+D$97</f>
        <v>1058.4672194490367</v>
      </c>
    </row>
    <row r="105" spans="1:5" s="234" customFormat="1" ht="15.75" customHeight="1">
      <c r="A105" s="509"/>
      <c r="B105" s="281">
        <f>B102</f>
        <v>0.05</v>
      </c>
      <c r="C105" s="330">
        <f>C$92+C$93+C$100</f>
        <v>1021.3465640274883</v>
      </c>
      <c r="D105" s="417">
        <f>D$92+D$93+D$100</f>
        <v>1190.6368529831816</v>
      </c>
    </row>
    <row r="106" spans="1:5" s="234" customFormat="1" ht="15.75" customHeight="1">
      <c r="A106" s="241" t="s">
        <v>225</v>
      </c>
      <c r="B106" s="282"/>
      <c r="C106" s="282"/>
      <c r="D106" s="418"/>
    </row>
    <row r="107" spans="1:5" s="234" customFormat="1" ht="15.75" customHeight="1">
      <c r="A107" s="270"/>
      <c r="B107" s="271"/>
      <c r="C107" s="271"/>
      <c r="D107" s="413"/>
    </row>
    <row r="108" spans="1:5" s="234" customFormat="1" ht="15.75" customHeight="1">
      <c r="A108" s="510"/>
      <c r="B108" s="511"/>
      <c r="C108" s="511"/>
      <c r="D108" s="512"/>
    </row>
    <row r="109" spans="1:5" s="234" customFormat="1" ht="15.75" customHeight="1">
      <c r="A109" s="513"/>
      <c r="B109" s="514"/>
      <c r="C109" s="514"/>
      <c r="D109" s="515"/>
    </row>
    <row r="110" spans="1:5" s="234" customFormat="1" ht="66" customHeight="1">
      <c r="A110" s="516" t="s">
        <v>226</v>
      </c>
      <c r="B110" s="517"/>
      <c r="C110" s="283" t="s">
        <v>227</v>
      </c>
      <c r="D110" s="419" t="str">
        <f>D11</f>
        <v xml:space="preserve">MOTORISTA 44h </v>
      </c>
    </row>
    <row r="111" spans="1:5" s="234" customFormat="1" ht="15.75" customHeight="1">
      <c r="A111" s="284" t="s">
        <v>228</v>
      </c>
      <c r="B111" s="285" t="s">
        <v>19</v>
      </c>
      <c r="C111" s="286" t="s">
        <v>155</v>
      </c>
      <c r="D111" s="420" t="s">
        <v>155</v>
      </c>
    </row>
    <row r="112" spans="1:5" s="234" customFormat="1" ht="14.25" customHeight="1">
      <c r="A112" s="287" t="s">
        <v>229</v>
      </c>
      <c r="B112" s="288"/>
      <c r="C112" s="289">
        <f>C21</f>
        <v>1885</v>
      </c>
      <c r="D112" s="421">
        <f>D21</f>
        <v>2303</v>
      </c>
    </row>
    <row r="113" spans="1:1021" s="234" customFormat="1" ht="14.25" customHeight="1">
      <c r="A113" s="287" t="s">
        <v>230</v>
      </c>
      <c r="B113" s="288"/>
      <c r="C113" s="289">
        <f>C51</f>
        <v>1865.9011111111113</v>
      </c>
      <c r="D113" s="421">
        <f>D51</f>
        <v>2058.1822222222222</v>
      </c>
    </row>
    <row r="114" spans="1:1021" s="234" customFormat="1" ht="14.25" customHeight="1">
      <c r="A114" s="287" t="s">
        <v>231</v>
      </c>
      <c r="B114" s="288"/>
      <c r="C114" s="289">
        <f>C61</f>
        <v>123.46749999999999</v>
      </c>
      <c r="D114" s="421">
        <f>D61</f>
        <v>150.84649999999999</v>
      </c>
    </row>
    <row r="115" spans="1:1021" s="234" customFormat="1" ht="14.25" customHeight="1">
      <c r="A115" s="287" t="s">
        <v>232</v>
      </c>
      <c r="B115" s="288"/>
      <c r="C115" s="289">
        <f>C78</f>
        <v>316.52283079552512</v>
      </c>
      <c r="D115" s="421">
        <f>D78</f>
        <v>386.71207000081847</v>
      </c>
    </row>
    <row r="116" spans="1:1021" s="234" customFormat="1" ht="15.75" customHeight="1">
      <c r="A116" s="287" t="s">
        <v>233</v>
      </c>
      <c r="B116" s="288"/>
      <c r="C116" s="289">
        <f>C88</f>
        <v>79.64</v>
      </c>
      <c r="D116" s="421">
        <f>D88</f>
        <v>79.64</v>
      </c>
    </row>
    <row r="117" spans="1:1021" s="234" customFormat="1" ht="15.75" customHeight="1">
      <c r="A117" s="287" t="s">
        <v>234</v>
      </c>
      <c r="B117" s="288"/>
      <c r="C117" s="290">
        <f>SUM(C112:C116)</f>
        <v>4270.5314419066372</v>
      </c>
      <c r="D117" s="422">
        <f>SUM(D112:D116)</f>
        <v>4978.3807922230399</v>
      </c>
    </row>
    <row r="118" spans="1:1021" s="234" customFormat="1" ht="15.75" customHeight="1">
      <c r="A118" s="287" t="s">
        <v>235</v>
      </c>
      <c r="B118" s="291">
        <f>B103</f>
        <v>0.02</v>
      </c>
      <c r="C118" s="290">
        <f>C103</f>
        <v>853.08335239206303</v>
      </c>
      <c r="D118" s="422">
        <f>D103</f>
        <v>994.48366871589326</v>
      </c>
    </row>
    <row r="119" spans="1:1021" s="234" customFormat="1" ht="15.75" customHeight="1">
      <c r="A119" s="287" t="s">
        <v>235</v>
      </c>
      <c r="B119" s="291">
        <f>B104</f>
        <v>0.03</v>
      </c>
      <c r="C119" s="290">
        <f t="shared" ref="C119:D119" si="16">C104</f>
        <v>907.96942410388635</v>
      </c>
      <c r="D119" s="422">
        <f t="shared" si="16"/>
        <v>1058.4672194490367</v>
      </c>
    </row>
    <row r="120" spans="1:1021" s="234" customFormat="1" ht="15.75" customHeight="1">
      <c r="A120" s="292" t="s">
        <v>235</v>
      </c>
      <c r="B120" s="291">
        <f t="shared" ref="B120" si="17">B105</f>
        <v>0.05</v>
      </c>
      <c r="C120" s="293">
        <f>C105</f>
        <v>1021.3465640274883</v>
      </c>
      <c r="D120" s="423">
        <f>D105</f>
        <v>1190.6368529831816</v>
      </c>
    </row>
    <row r="121" spans="1:1021" s="234" customFormat="1" ht="15.75" customHeight="1">
      <c r="A121" s="504" t="s">
        <v>236</v>
      </c>
      <c r="B121" s="295">
        <f>B118</f>
        <v>0.02</v>
      </c>
      <c r="C121" s="81">
        <f t="shared" ref="C121:D123" si="18">C$117+C118</f>
        <v>5123.6147942987</v>
      </c>
      <c r="D121" s="424">
        <f t="shared" si="18"/>
        <v>5972.864460938933</v>
      </c>
    </row>
    <row r="122" spans="1:1021" s="234" customFormat="1" ht="15.75" customHeight="1">
      <c r="A122" s="505"/>
      <c r="B122" s="295">
        <f>B119</f>
        <v>0.03</v>
      </c>
      <c r="C122" s="81">
        <f t="shared" si="18"/>
        <v>5178.5008660105232</v>
      </c>
      <c r="D122" s="424">
        <f t="shared" si="18"/>
        <v>6036.8480116720766</v>
      </c>
    </row>
    <row r="123" spans="1:1021" s="234" customFormat="1" ht="15.75" customHeight="1">
      <c r="A123" s="518"/>
      <c r="B123" s="295">
        <f t="shared" ref="B123" si="19">B120</f>
        <v>0.05</v>
      </c>
      <c r="C123" s="81">
        <f t="shared" si="18"/>
        <v>5291.8780059341252</v>
      </c>
      <c r="D123" s="424">
        <f t="shared" si="18"/>
        <v>6169.0176452062215</v>
      </c>
    </row>
    <row r="124" spans="1:1021" s="234" customFormat="1" ht="14.25" customHeight="1">
      <c r="A124" s="504" t="s">
        <v>237</v>
      </c>
      <c r="B124" s="295">
        <f>B121</f>
        <v>0.02</v>
      </c>
      <c r="C124" s="81">
        <f t="shared" ref="C124:D126" si="20">C121/220</f>
        <v>23.289158155903181</v>
      </c>
      <c r="D124" s="424">
        <f t="shared" si="20"/>
        <v>27.149383913358786</v>
      </c>
      <c r="E124" s="234">
        <f>(C124*0.7)+C124</f>
        <v>39.591568865035406</v>
      </c>
      <c r="F124" s="234">
        <f>(D124*0.7)+D124</f>
        <v>46.153952652709933</v>
      </c>
    </row>
    <row r="125" spans="1:1021" s="233" customFormat="1">
      <c r="A125" s="505"/>
      <c r="B125" s="295">
        <f>B99</f>
        <v>0.03</v>
      </c>
      <c r="C125" s="81">
        <f t="shared" si="20"/>
        <v>23.538640300047831</v>
      </c>
      <c r="D125" s="424">
        <f t="shared" si="20"/>
        <v>27.440218234873075</v>
      </c>
    </row>
    <row r="126" spans="1:1021" s="233" customFormat="1">
      <c r="A126" s="506"/>
      <c r="B126" s="425">
        <f>B102</f>
        <v>0.05</v>
      </c>
      <c r="C126" s="426">
        <f t="shared" si="20"/>
        <v>24.053990936064206</v>
      </c>
      <c r="D126" s="427">
        <f t="shared" si="20"/>
        <v>28.040989296391917</v>
      </c>
    </row>
    <row r="127" spans="1:1021">
      <c r="A127" s="298"/>
      <c r="E127" s="294"/>
      <c r="F127" s="294"/>
      <c r="G127" s="294"/>
      <c r="H127" s="294"/>
      <c r="I127" s="294"/>
      <c r="J127" s="294"/>
      <c r="K127" s="294"/>
      <c r="L127" s="294"/>
      <c r="M127" s="294"/>
      <c r="N127" s="294"/>
      <c r="O127" s="294"/>
      <c r="P127" s="294"/>
      <c r="Q127" s="294"/>
      <c r="R127" s="294"/>
      <c r="S127" s="294"/>
      <c r="T127" s="294"/>
      <c r="U127" s="294"/>
      <c r="V127" s="294"/>
      <c r="W127" s="294"/>
      <c r="X127" s="294"/>
      <c r="Y127" s="294"/>
      <c r="Z127" s="294"/>
      <c r="AA127" s="294"/>
      <c r="AB127" s="294"/>
      <c r="AC127" s="294"/>
      <c r="AD127" s="294"/>
      <c r="AE127" s="294"/>
      <c r="AF127" s="294"/>
      <c r="AG127" s="294"/>
      <c r="AH127" s="294"/>
      <c r="AI127" s="294"/>
      <c r="AJ127" s="294"/>
      <c r="AK127" s="294"/>
      <c r="AL127" s="294"/>
      <c r="AM127" s="294"/>
      <c r="AN127" s="294"/>
      <c r="AO127" s="294"/>
      <c r="AP127" s="294"/>
      <c r="AQ127" s="294"/>
      <c r="AR127" s="294"/>
      <c r="AS127" s="294"/>
      <c r="AT127" s="294"/>
      <c r="AU127" s="294"/>
      <c r="AV127" s="294"/>
      <c r="AW127" s="294"/>
      <c r="AX127" s="294"/>
      <c r="AY127" s="294"/>
      <c r="AZ127" s="294"/>
      <c r="BA127" s="294"/>
      <c r="BB127" s="294"/>
      <c r="BC127" s="294"/>
      <c r="BD127" s="294"/>
      <c r="BE127" s="294"/>
      <c r="BF127" s="294"/>
      <c r="BG127" s="294"/>
      <c r="BH127" s="294"/>
      <c r="BI127" s="294"/>
      <c r="BJ127" s="294"/>
      <c r="BK127" s="294"/>
      <c r="BL127" s="294"/>
      <c r="BM127" s="294"/>
      <c r="BN127" s="294"/>
      <c r="BO127" s="294"/>
      <c r="BP127" s="294"/>
      <c r="BQ127" s="294"/>
      <c r="BR127" s="294"/>
      <c r="BS127" s="294"/>
      <c r="BT127" s="294"/>
      <c r="BU127" s="294"/>
      <c r="BV127" s="294"/>
      <c r="BW127" s="294"/>
      <c r="BX127" s="294"/>
      <c r="BY127" s="294"/>
      <c r="BZ127" s="294"/>
      <c r="CA127" s="294"/>
      <c r="CB127" s="294"/>
      <c r="CC127" s="294"/>
      <c r="CD127" s="294"/>
      <c r="CE127" s="294"/>
      <c r="CF127" s="294"/>
      <c r="CG127" s="294"/>
      <c r="CH127" s="294"/>
      <c r="CI127" s="294"/>
      <c r="CJ127" s="294"/>
      <c r="CK127" s="294"/>
      <c r="CL127" s="294"/>
      <c r="CM127" s="294"/>
      <c r="CN127" s="294"/>
      <c r="CO127" s="294"/>
      <c r="CP127" s="294"/>
      <c r="CQ127" s="294"/>
      <c r="CR127" s="294"/>
      <c r="CS127" s="294"/>
      <c r="CT127" s="294"/>
      <c r="CU127" s="294"/>
      <c r="CV127" s="294"/>
      <c r="CW127" s="294"/>
      <c r="CX127" s="294"/>
      <c r="CY127" s="294"/>
      <c r="CZ127" s="294"/>
      <c r="DA127" s="294"/>
      <c r="DB127" s="294"/>
      <c r="DC127" s="294"/>
      <c r="DD127" s="294"/>
      <c r="DE127" s="294"/>
      <c r="DF127" s="294"/>
      <c r="DG127" s="294"/>
      <c r="DH127" s="294"/>
      <c r="DI127" s="294"/>
      <c r="DJ127" s="294"/>
      <c r="DK127" s="294"/>
      <c r="DL127" s="294"/>
      <c r="DM127" s="294"/>
      <c r="DN127" s="294"/>
      <c r="DO127" s="294"/>
      <c r="DP127" s="294"/>
      <c r="DQ127" s="294"/>
      <c r="DR127" s="294"/>
      <c r="DS127" s="294"/>
      <c r="DT127" s="294"/>
      <c r="DU127" s="294"/>
      <c r="DV127" s="294"/>
      <c r="DW127" s="294"/>
      <c r="DX127" s="294"/>
      <c r="DY127" s="294"/>
      <c r="DZ127" s="294"/>
      <c r="EA127" s="294"/>
      <c r="EB127" s="294"/>
      <c r="EC127" s="294"/>
      <c r="ED127" s="294"/>
      <c r="EE127" s="294"/>
      <c r="EF127" s="294"/>
      <c r="EG127" s="294"/>
      <c r="EH127" s="294"/>
      <c r="EI127" s="294"/>
      <c r="EJ127" s="294"/>
      <c r="EK127" s="294"/>
      <c r="EL127" s="294"/>
      <c r="EM127" s="294"/>
      <c r="EN127" s="294"/>
      <c r="EO127" s="294"/>
      <c r="EP127" s="294"/>
      <c r="EQ127" s="294"/>
      <c r="ER127" s="294"/>
      <c r="ES127" s="294"/>
      <c r="ET127" s="294"/>
      <c r="EU127" s="294"/>
      <c r="EV127" s="294"/>
      <c r="EW127" s="294"/>
      <c r="EX127" s="294"/>
      <c r="EY127" s="294"/>
      <c r="EZ127" s="294"/>
      <c r="FA127" s="294"/>
      <c r="FB127" s="294"/>
      <c r="FC127" s="294"/>
      <c r="FD127" s="294"/>
      <c r="FE127" s="294"/>
      <c r="FF127" s="294"/>
      <c r="FG127" s="294"/>
      <c r="FH127" s="294"/>
      <c r="FI127" s="294"/>
      <c r="FJ127" s="294"/>
      <c r="FK127" s="294"/>
      <c r="FL127" s="294"/>
      <c r="FM127" s="294"/>
      <c r="FN127" s="294"/>
      <c r="FO127" s="294"/>
      <c r="FP127" s="294"/>
      <c r="FQ127" s="294"/>
      <c r="FR127" s="294"/>
      <c r="FS127" s="294"/>
      <c r="FT127" s="294"/>
      <c r="FU127" s="294"/>
      <c r="FV127" s="294"/>
      <c r="FW127" s="294"/>
      <c r="FX127" s="294"/>
      <c r="FY127" s="294"/>
      <c r="FZ127" s="294"/>
      <c r="GA127" s="294"/>
      <c r="GB127" s="294"/>
      <c r="GC127" s="294"/>
      <c r="GD127" s="294"/>
      <c r="GE127" s="294"/>
      <c r="GF127" s="294"/>
      <c r="GG127" s="294"/>
      <c r="GH127" s="294"/>
      <c r="GI127" s="294"/>
      <c r="GJ127" s="294"/>
      <c r="GK127" s="294"/>
      <c r="GL127" s="294"/>
      <c r="GM127" s="294"/>
      <c r="GN127" s="294"/>
      <c r="GO127" s="294"/>
      <c r="GP127" s="294"/>
      <c r="GQ127" s="294"/>
      <c r="GR127" s="294"/>
      <c r="GS127" s="294"/>
      <c r="GT127" s="294"/>
      <c r="GU127" s="294"/>
      <c r="GV127" s="294"/>
      <c r="GW127" s="294"/>
      <c r="GX127" s="294"/>
      <c r="GY127" s="294"/>
      <c r="GZ127" s="294"/>
      <c r="HA127" s="294"/>
      <c r="HB127" s="294"/>
      <c r="HC127" s="294"/>
      <c r="HD127" s="294"/>
      <c r="HE127" s="294"/>
      <c r="HF127" s="294"/>
      <c r="HG127" s="294"/>
      <c r="HH127" s="294"/>
      <c r="HI127" s="294"/>
      <c r="HJ127" s="294"/>
      <c r="HK127" s="294"/>
      <c r="HL127" s="294"/>
      <c r="HM127" s="294"/>
      <c r="HN127" s="294"/>
      <c r="HO127" s="294"/>
      <c r="HP127" s="294"/>
      <c r="HQ127" s="294"/>
      <c r="HR127" s="294"/>
      <c r="HS127" s="294"/>
      <c r="HT127" s="294"/>
      <c r="HU127" s="294"/>
      <c r="HV127" s="294"/>
      <c r="HW127" s="294"/>
      <c r="HX127" s="294"/>
      <c r="HY127" s="294"/>
      <c r="HZ127" s="294"/>
      <c r="IA127" s="294"/>
      <c r="IB127" s="294"/>
      <c r="IC127" s="294"/>
      <c r="ID127" s="294"/>
      <c r="IE127" s="294"/>
      <c r="IF127" s="294"/>
      <c r="IG127" s="294"/>
      <c r="IH127" s="294"/>
      <c r="II127" s="294"/>
      <c r="IJ127" s="294"/>
      <c r="IK127" s="294"/>
      <c r="IL127" s="294"/>
      <c r="IM127" s="294"/>
      <c r="IN127" s="294"/>
      <c r="IO127" s="294"/>
      <c r="IP127" s="294"/>
      <c r="IQ127" s="294"/>
      <c r="IR127" s="294"/>
      <c r="IS127" s="294"/>
      <c r="IT127" s="294"/>
      <c r="IU127" s="294"/>
      <c r="IV127" s="294"/>
      <c r="IW127" s="294"/>
      <c r="IX127" s="294"/>
      <c r="IY127" s="294"/>
      <c r="IZ127" s="294"/>
      <c r="JA127" s="294"/>
      <c r="JB127" s="294"/>
      <c r="JC127" s="294"/>
      <c r="JD127" s="294"/>
      <c r="JE127" s="294"/>
      <c r="JF127" s="294"/>
      <c r="JG127" s="294"/>
      <c r="JH127" s="294"/>
      <c r="JI127" s="294"/>
      <c r="JJ127" s="294"/>
      <c r="JK127" s="294"/>
      <c r="JL127" s="294"/>
      <c r="JM127" s="294"/>
      <c r="JN127" s="294"/>
      <c r="JO127" s="294"/>
      <c r="JP127" s="294"/>
      <c r="JQ127" s="294"/>
      <c r="JR127" s="294"/>
      <c r="JS127" s="294"/>
      <c r="JT127" s="294"/>
      <c r="JU127" s="294"/>
      <c r="JV127" s="294"/>
      <c r="JW127" s="294"/>
      <c r="JX127" s="294"/>
      <c r="JY127" s="294"/>
      <c r="JZ127" s="294"/>
      <c r="KA127" s="294"/>
      <c r="KB127" s="294"/>
      <c r="KC127" s="294"/>
      <c r="KD127" s="294"/>
      <c r="KE127" s="294"/>
      <c r="KF127" s="294"/>
      <c r="KG127" s="294"/>
      <c r="KH127" s="294"/>
      <c r="KI127" s="294"/>
      <c r="KJ127" s="294"/>
      <c r="KK127" s="294"/>
      <c r="KL127" s="294"/>
      <c r="KM127" s="294"/>
      <c r="KN127" s="294"/>
      <c r="KO127" s="294"/>
      <c r="KP127" s="294"/>
      <c r="KQ127" s="294"/>
      <c r="KR127" s="294"/>
      <c r="KS127" s="294"/>
      <c r="KT127" s="294"/>
      <c r="KU127" s="294"/>
      <c r="KV127" s="294"/>
      <c r="KW127" s="294"/>
      <c r="KX127" s="294"/>
      <c r="KY127" s="294"/>
      <c r="KZ127" s="294"/>
      <c r="LA127" s="294"/>
      <c r="LB127" s="294"/>
      <c r="LC127" s="294"/>
      <c r="LD127" s="294"/>
      <c r="LE127" s="294"/>
      <c r="LF127" s="294"/>
      <c r="LG127" s="294"/>
      <c r="LH127" s="294"/>
      <c r="LI127" s="294"/>
      <c r="LJ127" s="294"/>
      <c r="LK127" s="294"/>
      <c r="LL127" s="294"/>
      <c r="LM127" s="294"/>
      <c r="LN127" s="294"/>
      <c r="LO127" s="294"/>
      <c r="LP127" s="294"/>
      <c r="LQ127" s="294"/>
      <c r="LR127" s="294"/>
      <c r="LS127" s="294"/>
      <c r="LT127" s="294"/>
      <c r="LU127" s="294"/>
      <c r="LV127" s="294"/>
      <c r="LW127" s="294"/>
      <c r="LX127" s="294"/>
      <c r="LY127" s="294"/>
      <c r="LZ127" s="294"/>
      <c r="MA127" s="294"/>
      <c r="MB127" s="294"/>
      <c r="MC127" s="294"/>
      <c r="MD127" s="294"/>
      <c r="ME127" s="294"/>
      <c r="MF127" s="294"/>
      <c r="MG127" s="294"/>
      <c r="MH127" s="294"/>
      <c r="MI127" s="294"/>
      <c r="MJ127" s="294"/>
      <c r="MK127" s="294"/>
      <c r="ML127" s="294"/>
      <c r="MM127" s="294"/>
      <c r="MN127" s="294"/>
      <c r="MO127" s="294"/>
      <c r="MP127" s="294"/>
      <c r="MQ127" s="294"/>
      <c r="MR127" s="294"/>
      <c r="MS127" s="294"/>
      <c r="MT127" s="294"/>
      <c r="MU127" s="294"/>
      <c r="MV127" s="294"/>
      <c r="MW127" s="294"/>
      <c r="MX127" s="294"/>
      <c r="MY127" s="294"/>
      <c r="MZ127" s="294"/>
      <c r="NA127" s="294"/>
      <c r="NB127" s="294"/>
      <c r="NC127" s="294"/>
      <c r="ND127" s="294"/>
      <c r="NE127" s="294"/>
      <c r="NF127" s="294"/>
      <c r="NG127" s="294"/>
      <c r="NH127" s="294"/>
      <c r="NI127" s="294"/>
      <c r="NJ127" s="294"/>
      <c r="NK127" s="294"/>
      <c r="NL127" s="294"/>
      <c r="NM127" s="294"/>
      <c r="NN127" s="294"/>
      <c r="NO127" s="294"/>
      <c r="NP127" s="294"/>
      <c r="NQ127" s="294"/>
      <c r="NR127" s="294"/>
      <c r="NS127" s="294"/>
      <c r="NT127" s="294"/>
      <c r="NU127" s="294"/>
      <c r="NV127" s="294"/>
      <c r="NW127" s="294"/>
      <c r="NX127" s="294"/>
      <c r="NY127" s="294"/>
      <c r="NZ127" s="294"/>
      <c r="OA127" s="294"/>
      <c r="OB127" s="294"/>
      <c r="OC127" s="294"/>
      <c r="OD127" s="294"/>
      <c r="OE127" s="294"/>
      <c r="OF127" s="294"/>
      <c r="OG127" s="294"/>
      <c r="OH127" s="294"/>
      <c r="OI127" s="294"/>
      <c r="OJ127" s="294"/>
      <c r="OK127" s="294"/>
      <c r="OL127" s="294"/>
      <c r="OM127" s="294"/>
      <c r="ON127" s="294"/>
      <c r="OO127" s="294"/>
      <c r="OP127" s="294"/>
      <c r="OQ127" s="294"/>
      <c r="OR127" s="294"/>
      <c r="OS127" s="294"/>
      <c r="OT127" s="294"/>
      <c r="OU127" s="294"/>
      <c r="OV127" s="294"/>
      <c r="OW127" s="294"/>
      <c r="OX127" s="294"/>
      <c r="OY127" s="294"/>
      <c r="OZ127" s="294"/>
      <c r="PA127" s="294"/>
      <c r="PB127" s="294"/>
      <c r="PC127" s="294"/>
      <c r="PD127" s="294"/>
      <c r="PE127" s="294"/>
      <c r="PF127" s="294"/>
      <c r="PG127" s="294"/>
      <c r="PH127" s="294"/>
      <c r="PI127" s="294"/>
      <c r="PJ127" s="294"/>
      <c r="PK127" s="294"/>
      <c r="PL127" s="294"/>
      <c r="PM127" s="294"/>
      <c r="PN127" s="294"/>
      <c r="PO127" s="294"/>
      <c r="PP127" s="294"/>
      <c r="PQ127" s="294"/>
      <c r="PR127" s="294"/>
      <c r="PS127" s="294"/>
      <c r="PT127" s="294"/>
      <c r="PU127" s="294"/>
      <c r="PV127" s="294"/>
      <c r="PW127" s="294"/>
      <c r="PX127" s="294"/>
      <c r="PY127" s="294"/>
      <c r="PZ127" s="294"/>
      <c r="QA127" s="294"/>
      <c r="QB127" s="294"/>
      <c r="QC127" s="294"/>
      <c r="QD127" s="294"/>
      <c r="QE127" s="294"/>
      <c r="QF127" s="294"/>
      <c r="QG127" s="294"/>
      <c r="QH127" s="294"/>
      <c r="QI127" s="294"/>
      <c r="QJ127" s="294"/>
      <c r="QK127" s="294"/>
      <c r="QL127" s="294"/>
      <c r="QM127" s="294"/>
      <c r="QN127" s="294"/>
      <c r="QO127" s="294"/>
      <c r="QP127" s="294"/>
      <c r="QQ127" s="294"/>
      <c r="QR127" s="294"/>
      <c r="QS127" s="294"/>
      <c r="QT127" s="294"/>
      <c r="QU127" s="294"/>
      <c r="QV127" s="294"/>
      <c r="QW127" s="294"/>
      <c r="QX127" s="294"/>
      <c r="QY127" s="294"/>
      <c r="QZ127" s="294"/>
      <c r="RA127" s="294"/>
      <c r="RB127" s="294"/>
      <c r="RC127" s="294"/>
      <c r="RD127" s="294"/>
      <c r="RE127" s="294"/>
      <c r="RF127" s="294"/>
      <c r="RG127" s="294"/>
      <c r="RH127" s="294"/>
      <c r="RI127" s="294"/>
      <c r="RJ127" s="294"/>
      <c r="RK127" s="294"/>
      <c r="RL127" s="294"/>
      <c r="RM127" s="294"/>
      <c r="RN127" s="294"/>
      <c r="RO127" s="294"/>
      <c r="RP127" s="294"/>
      <c r="RQ127" s="294"/>
      <c r="RR127" s="294"/>
      <c r="RS127" s="294"/>
      <c r="RT127" s="294"/>
      <c r="RU127" s="294"/>
      <c r="RV127" s="294"/>
      <c r="RW127" s="294"/>
      <c r="RX127" s="294"/>
      <c r="RY127" s="294"/>
      <c r="RZ127" s="294"/>
      <c r="SA127" s="294"/>
      <c r="SB127" s="294"/>
      <c r="SC127" s="294"/>
      <c r="SD127" s="294"/>
      <c r="SE127" s="294"/>
      <c r="SF127" s="294"/>
      <c r="SG127" s="294"/>
      <c r="SH127" s="294"/>
      <c r="SI127" s="294"/>
      <c r="SJ127" s="294"/>
      <c r="SK127" s="294"/>
      <c r="SL127" s="294"/>
      <c r="SM127" s="294"/>
      <c r="SN127" s="294"/>
      <c r="SO127" s="294"/>
      <c r="SP127" s="294"/>
      <c r="SQ127" s="294"/>
      <c r="SR127" s="294"/>
      <c r="SS127" s="294"/>
      <c r="ST127" s="294"/>
      <c r="SU127" s="294"/>
      <c r="SV127" s="294"/>
      <c r="SW127" s="294"/>
      <c r="SX127" s="294"/>
      <c r="SY127" s="294"/>
      <c r="SZ127" s="294"/>
      <c r="TA127" s="294"/>
      <c r="TB127" s="294"/>
      <c r="TC127" s="294"/>
      <c r="TD127" s="294"/>
      <c r="TE127" s="294"/>
      <c r="TF127" s="294"/>
      <c r="TG127" s="294"/>
      <c r="TH127" s="294"/>
      <c r="TI127" s="294"/>
      <c r="TJ127" s="294"/>
      <c r="TK127" s="294"/>
      <c r="TL127" s="294"/>
      <c r="TM127" s="294"/>
      <c r="TN127" s="294"/>
      <c r="TO127" s="294"/>
      <c r="TP127" s="294"/>
      <c r="TQ127" s="294"/>
      <c r="TR127" s="294"/>
      <c r="TS127" s="294"/>
      <c r="TT127" s="294"/>
      <c r="TU127" s="294"/>
      <c r="TV127" s="294"/>
      <c r="TW127" s="294"/>
      <c r="TX127" s="294"/>
      <c r="TY127" s="294"/>
      <c r="TZ127" s="294"/>
      <c r="UA127" s="294"/>
      <c r="UB127" s="294"/>
      <c r="UC127" s="294"/>
      <c r="UD127" s="294"/>
      <c r="UE127" s="294"/>
      <c r="UF127" s="294"/>
      <c r="UG127" s="294"/>
      <c r="UH127" s="294"/>
      <c r="UI127" s="294"/>
      <c r="UJ127" s="294"/>
      <c r="UK127" s="294"/>
      <c r="UL127" s="294"/>
      <c r="UM127" s="294"/>
      <c r="UN127" s="294"/>
      <c r="UO127" s="294"/>
      <c r="UP127" s="294"/>
      <c r="UQ127" s="294"/>
      <c r="UR127" s="294"/>
      <c r="US127" s="294"/>
      <c r="UT127" s="294"/>
      <c r="UU127" s="294"/>
      <c r="UV127" s="294"/>
      <c r="UW127" s="294"/>
      <c r="UX127" s="294"/>
      <c r="UY127" s="294"/>
      <c r="UZ127" s="294"/>
      <c r="VA127" s="294"/>
      <c r="VB127" s="294"/>
      <c r="VC127" s="294"/>
      <c r="VD127" s="294"/>
      <c r="VE127" s="294"/>
      <c r="VF127" s="294"/>
      <c r="VG127" s="294"/>
      <c r="VH127" s="294"/>
      <c r="VI127" s="294"/>
      <c r="VJ127" s="294"/>
      <c r="VK127" s="294"/>
      <c r="VL127" s="294"/>
      <c r="VM127" s="294"/>
      <c r="VN127" s="294"/>
      <c r="VO127" s="294"/>
      <c r="VP127" s="294"/>
      <c r="VQ127" s="294"/>
      <c r="VR127" s="294"/>
      <c r="VS127" s="294"/>
      <c r="VT127" s="294"/>
      <c r="VU127" s="294"/>
      <c r="VV127" s="294"/>
      <c r="VW127" s="294"/>
      <c r="VX127" s="294"/>
      <c r="VY127" s="294"/>
      <c r="VZ127" s="294"/>
      <c r="WA127" s="294"/>
      <c r="WB127" s="294"/>
      <c r="WC127" s="294"/>
      <c r="WD127" s="294"/>
      <c r="WE127" s="294"/>
      <c r="WF127" s="294"/>
      <c r="WG127" s="294"/>
      <c r="WH127" s="294"/>
      <c r="WI127" s="294"/>
      <c r="WJ127" s="294"/>
      <c r="WK127" s="294"/>
      <c r="WL127" s="294"/>
      <c r="WM127" s="294"/>
      <c r="WN127" s="294"/>
      <c r="WO127" s="294"/>
      <c r="WP127" s="294"/>
      <c r="WQ127" s="294"/>
      <c r="WR127" s="294"/>
      <c r="WS127" s="294"/>
      <c r="WT127" s="294"/>
      <c r="WU127" s="294"/>
      <c r="WV127" s="294"/>
      <c r="WW127" s="294"/>
      <c r="WX127" s="294"/>
      <c r="WY127" s="294"/>
      <c r="WZ127" s="294"/>
      <c r="XA127" s="294"/>
      <c r="XB127" s="294"/>
      <c r="XC127" s="294"/>
      <c r="XD127" s="294"/>
      <c r="XE127" s="294"/>
      <c r="XF127" s="294"/>
      <c r="XG127" s="294"/>
      <c r="XH127" s="294"/>
      <c r="XI127" s="294"/>
      <c r="XJ127" s="294"/>
      <c r="XK127" s="294"/>
      <c r="XL127" s="294"/>
      <c r="XM127" s="294"/>
      <c r="XN127" s="294"/>
      <c r="XO127" s="294"/>
      <c r="XP127" s="294"/>
      <c r="XQ127" s="294"/>
      <c r="XR127" s="294"/>
      <c r="XS127" s="294"/>
      <c r="XT127" s="294"/>
      <c r="XU127" s="294"/>
      <c r="XV127" s="294"/>
      <c r="XW127" s="294"/>
      <c r="XX127" s="294"/>
      <c r="XY127" s="294"/>
      <c r="XZ127" s="294"/>
      <c r="YA127" s="294"/>
      <c r="YB127" s="294"/>
      <c r="YC127" s="294"/>
      <c r="YD127" s="294"/>
      <c r="YE127" s="294"/>
      <c r="YF127" s="294"/>
      <c r="YG127" s="294"/>
      <c r="YH127" s="294"/>
      <c r="YI127" s="294"/>
      <c r="YJ127" s="294"/>
      <c r="YK127" s="294"/>
      <c r="YL127" s="294"/>
      <c r="YM127" s="294"/>
      <c r="YN127" s="294"/>
      <c r="YO127" s="294"/>
      <c r="YP127" s="294"/>
      <c r="YQ127" s="294"/>
      <c r="YR127" s="294"/>
      <c r="YS127" s="294"/>
      <c r="YT127" s="294"/>
      <c r="YU127" s="294"/>
      <c r="YV127" s="294"/>
      <c r="YW127" s="294"/>
      <c r="YX127" s="294"/>
      <c r="YY127" s="294"/>
      <c r="YZ127" s="294"/>
      <c r="ZA127" s="294"/>
      <c r="ZB127" s="294"/>
      <c r="ZC127" s="294"/>
      <c r="ZD127" s="294"/>
      <c r="ZE127" s="294"/>
      <c r="ZF127" s="294"/>
      <c r="ZG127" s="294"/>
      <c r="ZH127" s="294"/>
      <c r="ZI127" s="294"/>
      <c r="ZJ127" s="294"/>
      <c r="ZK127" s="294"/>
      <c r="ZL127" s="294"/>
      <c r="ZM127" s="294"/>
      <c r="ZN127" s="294"/>
      <c r="ZO127" s="294"/>
      <c r="ZP127" s="294"/>
      <c r="ZQ127" s="294"/>
      <c r="ZR127" s="294"/>
      <c r="ZS127" s="294"/>
      <c r="ZT127" s="294"/>
      <c r="ZU127" s="294"/>
      <c r="ZV127" s="294"/>
      <c r="ZW127" s="294"/>
      <c r="ZX127" s="294"/>
      <c r="ZY127" s="294"/>
      <c r="ZZ127" s="294"/>
      <c r="AAA127" s="294"/>
      <c r="AAB127" s="294"/>
      <c r="AAC127" s="294"/>
      <c r="AAD127" s="294"/>
      <c r="AAE127" s="294"/>
      <c r="AAF127" s="294"/>
      <c r="AAG127" s="294"/>
      <c r="AAH127" s="294"/>
      <c r="AAI127" s="294"/>
      <c r="AAJ127" s="294"/>
      <c r="AAK127" s="294"/>
      <c r="AAL127" s="294"/>
      <c r="AAM127" s="294"/>
      <c r="AAN127" s="294"/>
      <c r="AAO127" s="294"/>
      <c r="AAP127" s="294"/>
      <c r="AAQ127" s="294"/>
      <c r="AAR127" s="294"/>
      <c r="AAS127" s="294"/>
      <c r="AAT127" s="294"/>
      <c r="AAU127" s="294"/>
      <c r="AAV127" s="294"/>
      <c r="AAW127" s="294"/>
      <c r="AAX127" s="294"/>
      <c r="AAY127" s="294"/>
      <c r="AAZ127" s="294"/>
      <c r="ABA127" s="294"/>
      <c r="ABB127" s="294"/>
      <c r="ABC127" s="294"/>
      <c r="ABD127" s="294"/>
      <c r="ABE127" s="294"/>
      <c r="ABF127" s="294"/>
      <c r="ABG127" s="294"/>
      <c r="ABH127" s="294"/>
      <c r="ABI127" s="294"/>
      <c r="ABJ127" s="294"/>
      <c r="ABK127" s="294"/>
      <c r="ABL127" s="294"/>
      <c r="ABM127" s="294"/>
      <c r="ABN127" s="294"/>
      <c r="ABO127" s="294"/>
      <c r="ABP127" s="294"/>
      <c r="ABQ127" s="294"/>
      <c r="ABR127" s="294"/>
      <c r="ABS127" s="294"/>
      <c r="ABT127" s="294"/>
      <c r="ABU127" s="294"/>
      <c r="ABV127" s="294"/>
      <c r="ABW127" s="294"/>
      <c r="ABX127" s="294"/>
      <c r="ABY127" s="294"/>
      <c r="ABZ127" s="294"/>
      <c r="ACA127" s="294"/>
      <c r="ACB127" s="294"/>
      <c r="ACC127" s="294"/>
      <c r="ACD127" s="294"/>
      <c r="ACE127" s="294"/>
      <c r="ACF127" s="294"/>
      <c r="ACG127" s="294"/>
      <c r="ACH127" s="294"/>
      <c r="ACI127" s="294"/>
      <c r="ACJ127" s="294"/>
      <c r="ACK127" s="294"/>
      <c r="ACL127" s="294"/>
      <c r="ACM127" s="294"/>
      <c r="ACN127" s="294"/>
      <c r="ACO127" s="294"/>
      <c r="ACP127" s="294"/>
      <c r="ACQ127" s="294"/>
      <c r="ACR127" s="294"/>
      <c r="ACS127" s="294"/>
      <c r="ACT127" s="294"/>
      <c r="ACU127" s="294"/>
      <c r="ACV127" s="294"/>
      <c r="ACW127" s="294"/>
      <c r="ACX127" s="294"/>
      <c r="ACY127" s="294"/>
      <c r="ACZ127" s="294"/>
      <c r="ADA127" s="294"/>
      <c r="ADB127" s="294"/>
      <c r="ADC127" s="294"/>
      <c r="ADD127" s="294"/>
      <c r="ADE127" s="294"/>
      <c r="ADF127" s="294"/>
      <c r="ADG127" s="294"/>
      <c r="ADH127" s="294"/>
      <c r="ADI127" s="294"/>
      <c r="ADJ127" s="294"/>
      <c r="ADK127" s="294"/>
      <c r="ADL127" s="294"/>
      <c r="ADM127" s="294"/>
      <c r="ADN127" s="294"/>
      <c r="ADO127" s="294"/>
      <c r="ADP127" s="294"/>
      <c r="ADQ127" s="294"/>
      <c r="ADR127" s="294"/>
      <c r="ADS127" s="294"/>
      <c r="ADT127" s="294"/>
      <c r="ADU127" s="294"/>
      <c r="ADV127" s="294"/>
      <c r="ADW127" s="294"/>
      <c r="ADX127" s="294"/>
      <c r="ADY127" s="294"/>
      <c r="ADZ127" s="294"/>
      <c r="AEA127" s="294"/>
      <c r="AEB127" s="294"/>
      <c r="AEC127" s="294"/>
      <c r="AED127" s="294"/>
      <c r="AEE127" s="294"/>
      <c r="AEF127" s="294"/>
      <c r="AEG127" s="294"/>
      <c r="AEH127" s="294"/>
      <c r="AEI127" s="294"/>
      <c r="AEJ127" s="294"/>
      <c r="AEK127" s="294"/>
      <c r="AEL127" s="294"/>
      <c r="AEM127" s="294"/>
      <c r="AEN127" s="294"/>
      <c r="AEO127" s="294"/>
      <c r="AEP127" s="294"/>
      <c r="AEQ127" s="294"/>
      <c r="AER127" s="294"/>
      <c r="AES127" s="294"/>
      <c r="AET127" s="294"/>
      <c r="AEU127" s="294"/>
      <c r="AEV127" s="294"/>
      <c r="AEW127" s="294"/>
      <c r="AEX127" s="294"/>
      <c r="AEY127" s="294"/>
      <c r="AEZ127" s="294"/>
      <c r="AFA127" s="294"/>
      <c r="AFB127" s="294"/>
      <c r="AFC127" s="294"/>
      <c r="AFD127" s="294"/>
      <c r="AFE127" s="294"/>
      <c r="AFF127" s="294"/>
      <c r="AFG127" s="294"/>
      <c r="AFH127" s="294"/>
      <c r="AFI127" s="294"/>
      <c r="AFJ127" s="294"/>
      <c r="AFK127" s="294"/>
      <c r="AFL127" s="294"/>
      <c r="AFM127" s="294"/>
      <c r="AFN127" s="294"/>
      <c r="AFO127" s="294"/>
      <c r="AFP127" s="294"/>
      <c r="AFQ127" s="294"/>
      <c r="AFR127" s="294"/>
      <c r="AFS127" s="294"/>
      <c r="AFT127" s="294"/>
      <c r="AFU127" s="294"/>
      <c r="AFV127" s="294"/>
      <c r="AFW127" s="294"/>
      <c r="AFX127" s="294"/>
      <c r="AFY127" s="294"/>
      <c r="AFZ127" s="294"/>
      <c r="AGA127" s="294"/>
      <c r="AGB127" s="294"/>
      <c r="AGC127" s="294"/>
      <c r="AGD127" s="294"/>
      <c r="AGE127" s="294"/>
      <c r="AGF127" s="294"/>
      <c r="AGG127" s="294"/>
      <c r="AGH127" s="294"/>
      <c r="AGI127" s="294"/>
      <c r="AGJ127" s="294"/>
      <c r="AGK127" s="294"/>
      <c r="AGL127" s="294"/>
      <c r="AGM127" s="294"/>
      <c r="AGN127" s="294"/>
      <c r="AGO127" s="294"/>
      <c r="AGP127" s="294"/>
      <c r="AGQ127" s="294"/>
      <c r="AGR127" s="294"/>
      <c r="AGS127" s="294"/>
      <c r="AGT127" s="294"/>
      <c r="AGU127" s="294"/>
      <c r="AGV127" s="294"/>
      <c r="AGW127" s="294"/>
      <c r="AGX127" s="294"/>
      <c r="AGY127" s="294"/>
      <c r="AGZ127" s="294"/>
      <c r="AHA127" s="294"/>
      <c r="AHB127" s="294"/>
      <c r="AHC127" s="294"/>
      <c r="AHD127" s="294"/>
      <c r="AHE127" s="294"/>
      <c r="AHF127" s="294"/>
      <c r="AHG127" s="294"/>
      <c r="AHH127" s="294"/>
      <c r="AHI127" s="294"/>
      <c r="AHJ127" s="294"/>
      <c r="AHK127" s="294"/>
      <c r="AHL127" s="294"/>
      <c r="AHM127" s="294"/>
      <c r="AHN127" s="294"/>
      <c r="AHO127" s="294"/>
      <c r="AHP127" s="294"/>
      <c r="AHQ127" s="294"/>
      <c r="AHR127" s="294"/>
      <c r="AHS127" s="294"/>
      <c r="AHT127" s="294"/>
      <c r="AHU127" s="294"/>
      <c r="AHV127" s="294"/>
      <c r="AHW127" s="294"/>
      <c r="AHX127" s="294"/>
      <c r="AHY127" s="294"/>
      <c r="AHZ127" s="294"/>
      <c r="AIA127" s="294"/>
      <c r="AIB127" s="294"/>
      <c r="AIC127" s="294"/>
      <c r="AID127" s="294"/>
      <c r="AIE127" s="294"/>
      <c r="AIF127" s="294"/>
      <c r="AIG127" s="294"/>
      <c r="AIH127" s="294"/>
      <c r="AII127" s="294"/>
      <c r="AIJ127" s="294"/>
      <c r="AIK127" s="294"/>
      <c r="AIL127" s="294"/>
      <c r="AIM127" s="294"/>
      <c r="AIN127" s="294"/>
      <c r="AIO127" s="294"/>
      <c r="AIP127" s="294"/>
      <c r="AIQ127" s="294"/>
      <c r="AIR127" s="294"/>
      <c r="AIS127" s="294"/>
      <c r="AIT127" s="294"/>
      <c r="AIU127" s="294"/>
      <c r="AIV127" s="294"/>
      <c r="AIW127" s="294"/>
      <c r="AIX127" s="294"/>
      <c r="AIY127" s="294"/>
      <c r="AIZ127" s="294"/>
      <c r="AJA127" s="294"/>
      <c r="AJB127" s="294"/>
      <c r="AJC127" s="294"/>
      <c r="AJD127" s="294"/>
      <c r="AJE127" s="294"/>
      <c r="AJF127" s="294"/>
      <c r="AJG127" s="294"/>
      <c r="AJH127" s="294"/>
      <c r="AJI127" s="294"/>
      <c r="AJJ127" s="294"/>
      <c r="AJK127" s="294"/>
      <c r="AJL127" s="294"/>
      <c r="AJM127" s="294"/>
      <c r="AJN127" s="294"/>
      <c r="AJO127" s="294"/>
      <c r="AJP127" s="294"/>
      <c r="AJQ127" s="294"/>
      <c r="AJR127" s="294"/>
      <c r="AJS127" s="294"/>
      <c r="AJT127" s="294"/>
      <c r="AJU127" s="294"/>
      <c r="AJV127" s="294"/>
      <c r="AJW127" s="294"/>
      <c r="AJX127" s="294"/>
      <c r="AJY127" s="294"/>
      <c r="AJZ127" s="294"/>
      <c r="AKA127" s="294"/>
      <c r="AKB127" s="294"/>
      <c r="AKC127" s="294"/>
      <c r="AKD127" s="294"/>
      <c r="AKE127" s="294"/>
      <c r="AKF127" s="294"/>
      <c r="AKG127" s="294"/>
      <c r="AKH127" s="294"/>
      <c r="AKI127" s="294"/>
      <c r="AKJ127" s="294"/>
      <c r="AKK127" s="294"/>
      <c r="AKL127" s="294"/>
      <c r="AKM127" s="294"/>
      <c r="AKN127" s="294"/>
      <c r="AKO127" s="294"/>
      <c r="AKP127" s="294"/>
      <c r="AKQ127" s="294"/>
      <c r="AKR127" s="294"/>
      <c r="AKS127" s="294"/>
      <c r="AKT127" s="294"/>
      <c r="AKU127" s="294"/>
      <c r="AKV127" s="294"/>
      <c r="AKW127" s="294"/>
      <c r="AKX127" s="294"/>
      <c r="AKY127" s="294"/>
      <c r="AKZ127" s="294"/>
      <c r="ALA127" s="294"/>
      <c r="ALB127" s="294"/>
      <c r="ALC127" s="294"/>
      <c r="ALD127" s="294"/>
      <c r="ALE127" s="294"/>
      <c r="ALF127" s="294"/>
      <c r="ALG127" s="294"/>
      <c r="ALH127" s="294"/>
      <c r="ALI127" s="294"/>
      <c r="ALJ127" s="294"/>
      <c r="ALK127" s="294"/>
      <c r="ALL127" s="294"/>
      <c r="ALM127" s="294"/>
      <c r="ALN127" s="294"/>
      <c r="ALO127" s="294"/>
      <c r="ALP127" s="294"/>
      <c r="ALQ127" s="294"/>
      <c r="ALR127" s="294"/>
      <c r="ALS127" s="294"/>
      <c r="ALT127" s="294"/>
      <c r="ALU127" s="294"/>
      <c r="ALV127" s="294"/>
      <c r="ALW127" s="294"/>
      <c r="ALX127" s="294"/>
      <c r="ALY127" s="294"/>
      <c r="ALZ127" s="294"/>
      <c r="AMA127" s="294"/>
      <c r="AMB127" s="294"/>
      <c r="AMC127" s="294"/>
      <c r="AMD127" s="294"/>
      <c r="AME127" s="294"/>
      <c r="AMF127" s="294"/>
      <c r="AMG127" s="294"/>
    </row>
    <row r="128" spans="1:1021" s="233" customFormat="1" ht="73.5" customHeight="1">
      <c r="A128" s="507" t="s">
        <v>238</v>
      </c>
      <c r="B128" s="508"/>
      <c r="C128" s="508"/>
      <c r="D128" s="508"/>
    </row>
  </sheetData>
  <mergeCells count="20">
    <mergeCell ref="A124:A126"/>
    <mergeCell ref="A128:D128"/>
    <mergeCell ref="A90:D90"/>
    <mergeCell ref="A103:A105"/>
    <mergeCell ref="A108:D108"/>
    <mergeCell ref="A109:D109"/>
    <mergeCell ref="A110:B110"/>
    <mergeCell ref="A121:A123"/>
    <mergeCell ref="A80:D80"/>
    <mergeCell ref="A1:D1"/>
    <mergeCell ref="A2:D2"/>
    <mergeCell ref="A3:D3"/>
    <mergeCell ref="A12:D12"/>
    <mergeCell ref="A22:B22"/>
    <mergeCell ref="A23:D23"/>
    <mergeCell ref="A52:B52"/>
    <mergeCell ref="A53:D53"/>
    <mergeCell ref="A62:B62"/>
    <mergeCell ref="A63:D63"/>
    <mergeCell ref="C5:D5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 r:id="rId1"/>
  <headerFooter>
    <oddHeader>&amp;C&amp;"Times New Roman,Normal"&amp;12&amp;A</oddHeader>
    <oddFooter>&amp;C&amp;"Times New Roman,Normal"&amp;12Página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6"/>
  <sheetViews>
    <sheetView topLeftCell="A73" zoomScaleNormal="100" workbookViewId="0">
      <selection activeCell="F89" sqref="F89"/>
    </sheetView>
  </sheetViews>
  <sheetFormatPr defaultColWidth="8.5" defaultRowHeight="14.25"/>
  <cols>
    <col min="1" max="1" width="51" style="155" bestFit="1" customWidth="1"/>
    <col min="2" max="2" width="12.75" style="341" customWidth="1"/>
    <col min="3" max="3" width="13.75" style="341" customWidth="1"/>
    <col min="4" max="4" width="13.25" style="341" customWidth="1"/>
    <col min="5" max="5" width="13.25" style="162" customWidth="1"/>
    <col min="6" max="6" width="13.25" style="155" customWidth="1"/>
    <col min="7" max="7" width="30.5" style="155" customWidth="1"/>
    <col min="8" max="60" width="8.5" style="155"/>
  </cols>
  <sheetData>
    <row r="1" spans="1:60" ht="19.350000000000001" customHeight="1">
      <c r="A1" s="523" t="s">
        <v>1</v>
      </c>
      <c r="B1" s="523"/>
      <c r="C1" s="523"/>
      <c r="D1" s="523"/>
      <c r="E1" s="523"/>
      <c r="F1" s="523"/>
      <c r="G1" s="523"/>
    </row>
    <row r="2" spans="1:60" ht="12.75" customHeight="1">
      <c r="A2" s="524" t="s">
        <v>89</v>
      </c>
      <c r="B2" s="524"/>
      <c r="C2" s="524"/>
      <c r="D2" s="524"/>
      <c r="E2" s="524"/>
      <c r="F2" s="524"/>
      <c r="G2" s="524"/>
    </row>
    <row r="3" spans="1:60" ht="12.75" customHeight="1">
      <c r="A3" s="524" t="s">
        <v>3</v>
      </c>
      <c r="B3" s="524"/>
      <c r="C3" s="524"/>
      <c r="D3" s="524"/>
      <c r="E3" s="524"/>
      <c r="F3" s="524"/>
      <c r="G3" s="524"/>
    </row>
    <row r="4" spans="1:60" ht="33.6" customHeight="1">
      <c r="A4" s="525" t="s">
        <v>239</v>
      </c>
      <c r="B4" s="525"/>
      <c r="C4" s="525"/>
      <c r="D4" s="525"/>
      <c r="E4" s="525"/>
      <c r="F4" s="525"/>
      <c r="G4" s="525"/>
    </row>
    <row r="5" spans="1:60" ht="14.65" customHeight="1"/>
    <row r="6" spans="1:60" ht="22.35" customHeight="1">
      <c r="A6" s="522" t="s">
        <v>240</v>
      </c>
      <c r="B6" s="522"/>
      <c r="C6" s="522"/>
      <c r="D6" s="522"/>
      <c r="E6" s="522"/>
      <c r="F6" s="522"/>
      <c r="G6" s="522"/>
    </row>
    <row r="7" spans="1:60" ht="17.100000000000001" customHeight="1">
      <c r="A7" s="156"/>
    </row>
    <row r="8" spans="1:60" ht="14.65" customHeight="1">
      <c r="A8" s="157" t="s">
        <v>241</v>
      </c>
      <c r="B8" s="342" t="s">
        <v>242</v>
      </c>
      <c r="C8" s="342" t="s">
        <v>243</v>
      </c>
      <c r="D8" s="342" t="s">
        <v>244</v>
      </c>
      <c r="F8" s="158" t="s">
        <v>245</v>
      </c>
    </row>
    <row r="9" spans="1:60" ht="14.65" customHeight="1">
      <c r="A9" s="159" t="s">
        <v>246</v>
      </c>
      <c r="B9" s="343" t="s">
        <v>247</v>
      </c>
      <c r="C9" s="343" t="s">
        <v>248</v>
      </c>
      <c r="D9" s="343" t="s">
        <v>249</v>
      </c>
      <c r="F9" s="160" t="s">
        <v>250</v>
      </c>
    </row>
    <row r="10" spans="1:60" ht="14.65" customHeight="1">
      <c r="A10" s="161" t="s">
        <v>251</v>
      </c>
      <c r="B10" s="344" t="s">
        <v>252</v>
      </c>
      <c r="C10" s="344" t="s">
        <v>252</v>
      </c>
      <c r="D10" s="344" t="s">
        <v>252</v>
      </c>
      <c r="F10" s="163"/>
    </row>
    <row r="11" spans="1:60" ht="14.65" customHeight="1">
      <c r="A11" s="161" t="s">
        <v>253</v>
      </c>
      <c r="B11" s="344" t="s">
        <v>254</v>
      </c>
      <c r="C11" s="344" t="s">
        <v>255</v>
      </c>
      <c r="D11" s="344" t="s">
        <v>256</v>
      </c>
      <c r="F11" s="163"/>
    </row>
    <row r="12" spans="1:60" ht="14.65" customHeight="1">
      <c r="A12" s="161" t="s">
        <v>257</v>
      </c>
      <c r="B12" s="345">
        <v>13.4</v>
      </c>
      <c r="C12" s="346">
        <v>13.5</v>
      </c>
      <c r="D12" s="346">
        <v>12.2</v>
      </c>
      <c r="F12" s="164">
        <f>AVERAGE(B12:D12)</f>
        <v>13.033333333333331</v>
      </c>
      <c r="G12" s="155" t="s">
        <v>258</v>
      </c>
      <c r="H12" s="521" t="s">
        <v>259</v>
      </c>
    </row>
    <row r="13" spans="1:60" ht="14.65" customHeight="1">
      <c r="A13" s="161" t="s">
        <v>260</v>
      </c>
      <c r="B13" s="346">
        <v>15.6</v>
      </c>
      <c r="C13" s="346">
        <v>17.399999999999999</v>
      </c>
      <c r="D13" s="346">
        <v>15</v>
      </c>
      <c r="F13" s="164">
        <f>AVERAGE(B13:D13)</f>
        <v>16</v>
      </c>
      <c r="G13" s="155" t="s">
        <v>261</v>
      </c>
      <c r="H13" s="521"/>
      <c r="I13" s="313">
        <f>AVERAGE(F12:F13)</f>
        <v>14.516666666666666</v>
      </c>
    </row>
    <row r="14" spans="1:60" ht="14.65" customHeight="1">
      <c r="A14" s="161" t="s">
        <v>262</v>
      </c>
      <c r="B14" s="344" t="s">
        <v>263</v>
      </c>
      <c r="C14" s="344" t="s">
        <v>264</v>
      </c>
      <c r="D14" s="344" t="s">
        <v>263</v>
      </c>
      <c r="F14" s="164"/>
      <c r="G14" s="322"/>
    </row>
    <row r="15" spans="1:60" ht="14.65" customHeight="1">
      <c r="A15" s="161" t="s">
        <v>265</v>
      </c>
      <c r="B15" s="359">
        <v>275.76</v>
      </c>
      <c r="C15" s="359">
        <v>292</v>
      </c>
      <c r="D15" s="359">
        <v>275.76</v>
      </c>
      <c r="F15" s="360">
        <f>MEDIAN(B15:D15)</f>
        <v>275.76</v>
      </c>
      <c r="G15" s="322" t="s">
        <v>266</v>
      </c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</row>
    <row r="16" spans="1:60" ht="14.65" customHeight="1">
      <c r="A16" s="161" t="s">
        <v>267</v>
      </c>
      <c r="B16" s="344" t="s">
        <v>268</v>
      </c>
      <c r="C16" s="344" t="s">
        <v>269</v>
      </c>
      <c r="D16" s="344" t="s">
        <v>270</v>
      </c>
      <c r="F16" s="163"/>
    </row>
    <row r="17" spans="1:60" ht="14.65" customHeight="1">
      <c r="A17" s="161" t="s">
        <v>271</v>
      </c>
      <c r="B17" s="347" t="s">
        <v>272</v>
      </c>
      <c r="C17" s="347" t="s">
        <v>272</v>
      </c>
      <c r="D17" s="347" t="s">
        <v>272</v>
      </c>
      <c r="F17" s="163"/>
    </row>
    <row r="18" spans="1:60" ht="14.65" customHeight="1">
      <c r="A18" s="161" t="s">
        <v>273</v>
      </c>
      <c r="B18" s="344" t="s">
        <v>274</v>
      </c>
      <c r="C18" s="344" t="s">
        <v>274</v>
      </c>
      <c r="D18" s="344" t="s">
        <v>274</v>
      </c>
      <c r="F18" s="163"/>
      <c r="I18" s="165"/>
    </row>
    <row r="19" spans="1:60" ht="14.65" customHeight="1">
      <c r="A19" s="161" t="s">
        <v>275</v>
      </c>
      <c r="B19" s="344" t="s">
        <v>276</v>
      </c>
      <c r="C19" s="344" t="s">
        <v>276</v>
      </c>
      <c r="D19" s="344" t="s">
        <v>276</v>
      </c>
      <c r="F19" s="163"/>
    </row>
    <row r="20" spans="1:60" ht="14.65" customHeight="1">
      <c r="A20" s="155" t="s">
        <v>277</v>
      </c>
      <c r="B20" s="348">
        <v>102000</v>
      </c>
      <c r="C20" s="348">
        <v>102000</v>
      </c>
      <c r="D20" s="348">
        <v>102000</v>
      </c>
      <c r="F20" s="164">
        <f t="shared" ref="F20:F23" si="0">AVERAGE(B20:E20)</f>
        <v>102000</v>
      </c>
    </row>
    <row r="21" spans="1:60" ht="12.75" customHeight="1">
      <c r="A21" s="155" t="s">
        <v>278</v>
      </c>
      <c r="B21" s="348">
        <f>B20*0.2/12</f>
        <v>1700</v>
      </c>
      <c r="C21" s="348">
        <f>C20*0.2/12</f>
        <v>1700</v>
      </c>
      <c r="D21" s="348">
        <f>D20*0.2/12</f>
        <v>1700</v>
      </c>
      <c r="F21" s="164">
        <f>MEDIAN(B21:D21)</f>
        <v>1700</v>
      </c>
    </row>
    <row r="22" spans="1:60" ht="12.75" customHeight="1">
      <c r="A22" s="155" t="s">
        <v>279</v>
      </c>
      <c r="B22" s="348">
        <f>149.37/12</f>
        <v>12.4475</v>
      </c>
      <c r="C22" s="348">
        <f>149.37/12</f>
        <v>12.4475</v>
      </c>
      <c r="D22" s="348">
        <f>149.38/12</f>
        <v>12.448333333333332</v>
      </c>
      <c r="F22" s="164">
        <f t="shared" si="0"/>
        <v>12.447777777777778</v>
      </c>
    </row>
    <row r="23" spans="1:60" ht="12.75" customHeight="1">
      <c r="A23" s="155" t="s">
        <v>280</v>
      </c>
      <c r="B23" s="348">
        <v>0</v>
      </c>
      <c r="C23" s="348">
        <v>0</v>
      </c>
      <c r="D23" s="348">
        <v>0</v>
      </c>
      <c r="F23" s="164">
        <f t="shared" si="0"/>
        <v>0</v>
      </c>
      <c r="G23" s="155" t="s">
        <v>281</v>
      </c>
    </row>
    <row r="24" spans="1:60" ht="12.75" customHeight="1">
      <c r="A24" s="155" t="s">
        <v>282</v>
      </c>
      <c r="B24" s="348">
        <f>B$20*0.01/12</f>
        <v>85</v>
      </c>
      <c r="C24" s="348">
        <f>C$20*0.01/12</f>
        <v>85</v>
      </c>
      <c r="D24" s="348">
        <f>D$20*0.01/12</f>
        <v>85</v>
      </c>
      <c r="F24" s="164">
        <f>MEDIAN(B24:E24)</f>
        <v>85</v>
      </c>
    </row>
    <row r="25" spans="1:60" ht="12.75" customHeight="1">
      <c r="A25" s="155" t="s">
        <v>283</v>
      </c>
      <c r="B25" s="348">
        <f>B20*0.04/12</f>
        <v>340</v>
      </c>
      <c r="C25" s="348">
        <f>C20*0.04/12</f>
        <v>340</v>
      </c>
      <c r="D25" s="348">
        <f>D20*0.04/12</f>
        <v>340</v>
      </c>
      <c r="E25" s="365"/>
      <c r="F25" s="164">
        <f>MEDIAN(A25:D25)</f>
        <v>340</v>
      </c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</row>
    <row r="26" spans="1:60" ht="12.75" customHeight="1">
      <c r="A26" s="155" t="s">
        <v>284</v>
      </c>
      <c r="B26" s="348">
        <f>B20*0.02/10</f>
        <v>204</v>
      </c>
      <c r="C26" s="348">
        <f t="shared" ref="C26:D26" si="1">C20*0.02/10</f>
        <v>204</v>
      </c>
      <c r="D26" s="348">
        <f t="shared" si="1"/>
        <v>204</v>
      </c>
      <c r="E26" s="365"/>
      <c r="F26" s="164">
        <f>AVERAGE(A26:D26)</f>
        <v>204</v>
      </c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</row>
    <row r="27" spans="1:60" ht="12.75" customHeight="1">
      <c r="A27" s="155" t="s">
        <v>285</v>
      </c>
      <c r="B27" s="344" t="s">
        <v>286</v>
      </c>
      <c r="C27" s="344" t="s">
        <v>286</v>
      </c>
      <c r="D27" s="344" t="s">
        <v>286</v>
      </c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</row>
    <row r="28" spans="1:60" ht="12.75" customHeight="1">
      <c r="A28" s="155" t="s">
        <v>287</v>
      </c>
      <c r="B28" s="208">
        <v>75</v>
      </c>
      <c r="C28" s="208">
        <v>75</v>
      </c>
      <c r="D28" s="208">
        <v>75</v>
      </c>
      <c r="E28" s="365"/>
      <c r="F28" s="164">
        <f>MEDIAN(B28:D28)</f>
        <v>75</v>
      </c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</row>
    <row r="29" spans="1:60" ht="16.5" customHeight="1">
      <c r="A29" s="155" t="s">
        <v>288</v>
      </c>
      <c r="B29" s="208" t="s">
        <v>289</v>
      </c>
      <c r="C29" s="208" t="s">
        <v>289</v>
      </c>
      <c r="D29" s="208" t="s">
        <v>290</v>
      </c>
      <c r="E29" s="365"/>
      <c r="F29" s="165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</row>
    <row r="30" spans="1:60" ht="16.5" customHeight="1">
      <c r="B30" s="208"/>
      <c r="C30" s="208"/>
      <c r="D30" s="208"/>
      <c r="E30" s="365"/>
      <c r="F30" s="165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</row>
    <row r="31" spans="1:60" ht="16.5" customHeight="1">
      <c r="A31" s="522" t="s">
        <v>291</v>
      </c>
      <c r="B31" s="522"/>
      <c r="C31" s="522"/>
      <c r="D31" s="522"/>
      <c r="E31" s="522"/>
      <c r="F31" s="522"/>
      <c r="G31" s="522"/>
    </row>
    <row r="32" spans="1:60" ht="16.5" customHeight="1">
      <c r="A32" s="156"/>
    </row>
    <row r="33" spans="1:60" ht="16.5" customHeight="1">
      <c r="A33" s="157" t="s">
        <v>241</v>
      </c>
      <c r="B33" s="384"/>
      <c r="C33" s="384" t="s">
        <v>292</v>
      </c>
      <c r="D33" s="384" t="s">
        <v>293</v>
      </c>
      <c r="F33" s="158" t="s">
        <v>245</v>
      </c>
    </row>
    <row r="34" spans="1:60" ht="29.25" customHeight="1">
      <c r="A34" s="159" t="s">
        <v>246</v>
      </c>
      <c r="B34" s="385"/>
      <c r="C34" s="386" t="s">
        <v>294</v>
      </c>
      <c r="D34" s="385" t="s">
        <v>295</v>
      </c>
      <c r="F34" s="160" t="s">
        <v>250</v>
      </c>
    </row>
    <row r="35" spans="1:60" ht="16.5" customHeight="1">
      <c r="A35" s="161" t="s">
        <v>251</v>
      </c>
      <c r="B35" s="344"/>
      <c r="C35" s="344">
        <v>1.5</v>
      </c>
      <c r="D35" s="344">
        <v>1.4</v>
      </c>
      <c r="F35" s="163"/>
    </row>
    <row r="36" spans="1:60" ht="16.5" customHeight="1">
      <c r="A36" s="161" t="s">
        <v>253</v>
      </c>
      <c r="B36" s="344"/>
      <c r="C36" s="344" t="s">
        <v>296</v>
      </c>
      <c r="D36" s="344" t="s">
        <v>297</v>
      </c>
      <c r="F36" s="163"/>
    </row>
    <row r="37" spans="1:60" ht="16.5" customHeight="1">
      <c r="A37" s="161" t="s">
        <v>257</v>
      </c>
      <c r="B37" s="345"/>
      <c r="C37" s="346">
        <v>12.8</v>
      </c>
      <c r="D37" s="346">
        <v>11.7</v>
      </c>
      <c r="F37" s="164">
        <f>AVERAGE(B37:D37)</f>
        <v>12.25</v>
      </c>
      <c r="G37" s="155" t="s">
        <v>258</v>
      </c>
      <c r="H37" s="521" t="s">
        <v>259</v>
      </c>
    </row>
    <row r="38" spans="1:60" ht="16.5" customHeight="1">
      <c r="A38" s="161" t="s">
        <v>260</v>
      </c>
      <c r="B38" s="346"/>
      <c r="C38" s="346">
        <v>15.5</v>
      </c>
      <c r="D38" s="346">
        <v>14</v>
      </c>
      <c r="F38" s="164">
        <f>AVERAGE(B38:D38)</f>
        <v>14.75</v>
      </c>
      <c r="G38" s="155" t="s">
        <v>261</v>
      </c>
      <c r="H38" s="521"/>
      <c r="I38" s="313">
        <f>AVERAGE(F37:F38)</f>
        <v>13.5</v>
      </c>
    </row>
    <row r="39" spans="1:60" ht="16.5" customHeight="1">
      <c r="A39" s="161" t="s">
        <v>298</v>
      </c>
      <c r="B39" s="344"/>
      <c r="C39" s="344" t="s">
        <v>299</v>
      </c>
      <c r="D39" s="349" t="s">
        <v>300</v>
      </c>
      <c r="F39" s="164"/>
      <c r="G39" s="322"/>
    </row>
    <row r="40" spans="1:60" ht="16.5" customHeight="1">
      <c r="A40" s="161" t="s">
        <v>265</v>
      </c>
      <c r="B40" s="344"/>
      <c r="C40" s="359">
        <v>280</v>
      </c>
      <c r="D40" s="359">
        <v>389</v>
      </c>
      <c r="F40" s="360">
        <f>MEDIAN(B40:D40)</f>
        <v>334.5</v>
      </c>
      <c r="G40" s="322" t="s">
        <v>266</v>
      </c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</row>
    <row r="41" spans="1:60" ht="16.5" customHeight="1">
      <c r="A41" s="161" t="s">
        <v>267</v>
      </c>
      <c r="B41" s="344"/>
      <c r="C41" s="344" t="s">
        <v>301</v>
      </c>
      <c r="D41" s="344" t="s">
        <v>302</v>
      </c>
      <c r="F41" s="163"/>
    </row>
    <row r="42" spans="1:60" ht="16.5" customHeight="1">
      <c r="A42" s="161" t="s">
        <v>271</v>
      </c>
      <c r="B42" s="347"/>
      <c r="C42" s="347" t="s">
        <v>272</v>
      </c>
      <c r="D42" s="347" t="s">
        <v>272</v>
      </c>
      <c r="F42" s="163"/>
    </row>
    <row r="43" spans="1:60" ht="16.5" customHeight="1">
      <c r="A43" s="161" t="s">
        <v>273</v>
      </c>
      <c r="B43" s="344"/>
      <c r="C43" s="344" t="s">
        <v>276</v>
      </c>
      <c r="D43" s="344" t="s">
        <v>303</v>
      </c>
      <c r="F43" s="163"/>
      <c r="I43" s="165"/>
    </row>
    <row r="44" spans="1:60" ht="16.5" customHeight="1">
      <c r="A44" s="161" t="s">
        <v>275</v>
      </c>
      <c r="B44" s="344"/>
      <c r="C44" s="344" t="s">
        <v>303</v>
      </c>
      <c r="D44" s="344" t="s">
        <v>303</v>
      </c>
      <c r="F44" s="163"/>
    </row>
    <row r="45" spans="1:60" ht="16.5" customHeight="1">
      <c r="A45" s="155" t="s">
        <v>277</v>
      </c>
      <c r="B45" s="387"/>
      <c r="C45" s="348">
        <v>147046</v>
      </c>
      <c r="D45" s="348">
        <v>154959</v>
      </c>
      <c r="F45" s="164">
        <f>MEDIAN(C45:D45:D45)</f>
        <v>151002.5</v>
      </c>
    </row>
    <row r="46" spans="1:60" ht="16.5" customHeight="1">
      <c r="A46" s="155" t="s">
        <v>278</v>
      </c>
      <c r="B46" s="348"/>
      <c r="C46" s="348">
        <f>C45*0.2/12</f>
        <v>2450.7666666666669</v>
      </c>
      <c r="D46" s="348">
        <f>D45*0.2/12</f>
        <v>2582.65</v>
      </c>
      <c r="F46" s="164">
        <f>MEDIAN(C46:E46)</f>
        <v>2516.7083333333335</v>
      </c>
    </row>
    <row r="47" spans="1:60" ht="16.5" customHeight="1">
      <c r="A47" s="155" t="s">
        <v>279</v>
      </c>
      <c r="B47" s="348"/>
      <c r="C47" s="348">
        <f>149.37/12</f>
        <v>12.4475</v>
      </c>
      <c r="D47" s="348">
        <f>149.38/12</f>
        <v>12.448333333333332</v>
      </c>
      <c r="F47" s="164">
        <f>AVERAGE(B47:D47)</f>
        <v>12.447916666666666</v>
      </c>
    </row>
    <row r="48" spans="1:60" ht="16.5" customHeight="1">
      <c r="A48" s="155" t="s">
        <v>280</v>
      </c>
      <c r="B48" s="348"/>
      <c r="C48" s="348">
        <v>0</v>
      </c>
      <c r="D48" s="348">
        <v>0</v>
      </c>
      <c r="F48" s="164">
        <f t="shared" ref="F48" si="2">AVERAGE(B48:E48)</f>
        <v>0</v>
      </c>
      <c r="G48" s="155" t="s">
        <v>281</v>
      </c>
    </row>
    <row r="49" spans="1:60" ht="16.5" customHeight="1">
      <c r="A49" s="155" t="s">
        <v>282</v>
      </c>
      <c r="B49" s="348"/>
      <c r="C49" s="348">
        <f>C$20*0.01/12</f>
        <v>85</v>
      </c>
      <c r="D49" s="348">
        <f>D$20*0.01/12</f>
        <v>85</v>
      </c>
      <c r="F49" s="164">
        <f>MEDIAN(B49:E49)</f>
        <v>85</v>
      </c>
    </row>
    <row r="50" spans="1:60" ht="16.5" customHeight="1">
      <c r="A50" s="155" t="s">
        <v>283</v>
      </c>
      <c r="B50" s="348"/>
      <c r="C50" s="348">
        <f>C45*0.04/12</f>
        <v>490.15333333333336</v>
      </c>
      <c r="D50" s="348">
        <f>D45*0.04/12</f>
        <v>516.53000000000009</v>
      </c>
      <c r="E50" s="365"/>
      <c r="F50" s="164">
        <f>MEDIAN(B50:D50)</f>
        <v>503.3416666666667</v>
      </c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</row>
    <row r="51" spans="1:60" ht="16.5" customHeight="1">
      <c r="A51" s="155" t="s">
        <v>284</v>
      </c>
      <c r="B51" s="348"/>
      <c r="C51" s="348">
        <f t="shared" ref="C51:D51" si="3">C45*0.02/10</f>
        <v>294.09199999999998</v>
      </c>
      <c r="D51" s="348">
        <f t="shared" si="3"/>
        <v>309.91800000000001</v>
      </c>
      <c r="E51" s="365"/>
      <c r="F51" s="164">
        <f>MEDIAN(B51:D51)</f>
        <v>302.005</v>
      </c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</row>
    <row r="52" spans="1:60" ht="16.5" customHeight="1">
      <c r="A52" s="155" t="s">
        <v>285</v>
      </c>
      <c r="B52" s="344"/>
      <c r="C52" s="344" t="s">
        <v>286</v>
      </c>
      <c r="D52" s="344" t="s">
        <v>286</v>
      </c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</row>
    <row r="53" spans="1:60" ht="16.5" customHeight="1">
      <c r="A53" s="155" t="s">
        <v>287</v>
      </c>
      <c r="B53" s="208"/>
      <c r="C53" s="208">
        <v>75</v>
      </c>
      <c r="D53" s="208">
        <v>75</v>
      </c>
      <c r="E53" s="365"/>
      <c r="F53" s="164">
        <f>AVERAGE(B53:D53)</f>
        <v>75</v>
      </c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</row>
    <row r="54" spans="1:60" ht="16.5" customHeight="1">
      <c r="A54" s="155" t="s">
        <v>288</v>
      </c>
      <c r="B54" s="208"/>
      <c r="C54" s="208" t="s">
        <v>289</v>
      </c>
      <c r="D54" s="208" t="s">
        <v>290</v>
      </c>
      <c r="E54" s="365"/>
      <c r="F54" s="165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</row>
    <row r="55" spans="1:60" ht="16.5" customHeight="1">
      <c r="B55" s="208"/>
      <c r="C55" s="208"/>
      <c r="D55" s="208"/>
      <c r="E55" s="365"/>
      <c r="F55" s="16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</row>
    <row r="56" spans="1:60" ht="14.65" customHeight="1">
      <c r="A56" s="522" t="s">
        <v>304</v>
      </c>
      <c r="B56" s="522"/>
      <c r="C56" s="522"/>
      <c r="D56" s="522"/>
      <c r="E56" s="522"/>
      <c r="F56" s="522"/>
      <c r="G56" s="522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</row>
    <row r="57" spans="1:60" ht="14.65" customHeight="1">
      <c r="A57" s="156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</row>
    <row r="58" spans="1:60" ht="14.65" customHeight="1">
      <c r="A58" s="157" t="s">
        <v>241</v>
      </c>
      <c r="B58" s="342" t="s">
        <v>305</v>
      </c>
      <c r="C58" s="342" t="s">
        <v>306</v>
      </c>
      <c r="D58" s="342" t="s">
        <v>307</v>
      </c>
      <c r="F58" s="158" t="s">
        <v>308</v>
      </c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</row>
    <row r="59" spans="1:60" ht="14.65" customHeight="1">
      <c r="A59" s="159" t="s">
        <v>246</v>
      </c>
      <c r="B59" s="343" t="s">
        <v>309</v>
      </c>
      <c r="C59" s="343" t="s">
        <v>310</v>
      </c>
      <c r="D59" s="343" t="s">
        <v>311</v>
      </c>
      <c r="F59" s="160" t="s">
        <v>250</v>
      </c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</row>
    <row r="60" spans="1:60" ht="14.65" customHeight="1">
      <c r="A60" s="161" t="s">
        <v>251</v>
      </c>
      <c r="B60" s="344" t="s">
        <v>312</v>
      </c>
      <c r="C60" s="344" t="s">
        <v>313</v>
      </c>
      <c r="D60" s="344" t="s">
        <v>314</v>
      </c>
      <c r="F60" s="163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</row>
    <row r="61" spans="1:60" ht="14.65" customHeight="1">
      <c r="A61" s="161" t="s">
        <v>253</v>
      </c>
      <c r="B61" s="344" t="s">
        <v>315</v>
      </c>
      <c r="C61" s="344" t="s">
        <v>315</v>
      </c>
      <c r="D61" s="344" t="s">
        <v>316</v>
      </c>
      <c r="F61" s="163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</row>
    <row r="62" spans="1:60" ht="14.65" customHeight="1">
      <c r="A62" s="161" t="s">
        <v>317</v>
      </c>
      <c r="B62" s="345">
        <v>9.8000000000000007</v>
      </c>
      <c r="C62" s="346">
        <v>9.1</v>
      </c>
      <c r="D62" s="346">
        <v>10.3</v>
      </c>
      <c r="F62" s="164">
        <f>AVERAGE(B62:D62)</f>
        <v>9.7333333333333325</v>
      </c>
      <c r="G62" s="155" t="s">
        <v>258</v>
      </c>
      <c r="H62" s="521" t="s">
        <v>259</v>
      </c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</row>
    <row r="63" spans="1:60" ht="14.65" customHeight="1">
      <c r="A63" s="161" t="s">
        <v>318</v>
      </c>
      <c r="B63" s="346" t="s">
        <v>319</v>
      </c>
      <c r="C63" s="346">
        <v>11</v>
      </c>
      <c r="D63" s="346" t="s">
        <v>319</v>
      </c>
      <c r="F63" s="164">
        <f>AVERAGE(B63:D63)</f>
        <v>11</v>
      </c>
      <c r="G63" s="155" t="s">
        <v>261</v>
      </c>
      <c r="H63" s="521"/>
      <c r="I63" s="313">
        <f>(F62+F63)/2</f>
        <v>10.366666666666667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</row>
    <row r="64" spans="1:60" ht="14.65" customHeight="1">
      <c r="A64" s="161" t="s">
        <v>262</v>
      </c>
      <c r="B64" s="344" t="s">
        <v>320</v>
      </c>
      <c r="C64" s="344" t="s">
        <v>321</v>
      </c>
      <c r="D64" s="344" t="s">
        <v>322</v>
      </c>
      <c r="F64" s="164"/>
      <c r="G64" s="322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</row>
    <row r="65" spans="1:60" ht="14.65" customHeight="1">
      <c r="A65" s="161" t="s">
        <v>265</v>
      </c>
      <c r="B65" s="344">
        <v>659.75</v>
      </c>
      <c r="C65" s="344">
        <v>542.5</v>
      </c>
      <c r="D65" s="344">
        <v>611.47</v>
      </c>
      <c r="F65" s="360">
        <f>MEDIAN(B65:D65)</f>
        <v>611.47</v>
      </c>
      <c r="G65" s="322" t="s">
        <v>266</v>
      </c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</row>
    <row r="66" spans="1:60" ht="14.65" customHeight="1">
      <c r="A66" s="161" t="s">
        <v>323</v>
      </c>
      <c r="B66" s="344" t="s">
        <v>324</v>
      </c>
      <c r="C66" s="344" t="s">
        <v>325</v>
      </c>
      <c r="D66" s="344" t="s">
        <v>326</v>
      </c>
      <c r="F66" s="163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</row>
    <row r="67" spans="1:60" ht="14.65" customHeight="1">
      <c r="A67" s="161" t="s">
        <v>271</v>
      </c>
      <c r="B67" s="347" t="s">
        <v>272</v>
      </c>
      <c r="C67" s="347" t="s">
        <v>272</v>
      </c>
      <c r="D67" s="347" t="s">
        <v>272</v>
      </c>
      <c r="F67" s="163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</row>
    <row r="68" spans="1:60" ht="14.65" customHeight="1">
      <c r="A68" s="161" t="s">
        <v>273</v>
      </c>
      <c r="B68" s="350" t="s">
        <v>327</v>
      </c>
      <c r="C68" s="350" t="s">
        <v>327</v>
      </c>
      <c r="D68" s="350" t="s">
        <v>327</v>
      </c>
      <c r="F68" s="163"/>
      <c r="I68" s="165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</row>
    <row r="69" spans="1:60" ht="14.65" customHeight="1">
      <c r="A69" s="161" t="s">
        <v>275</v>
      </c>
      <c r="B69" s="350" t="s">
        <v>276</v>
      </c>
      <c r="C69" s="350" t="s">
        <v>274</v>
      </c>
      <c r="D69" s="350" t="s">
        <v>274</v>
      </c>
      <c r="F69" s="163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</row>
    <row r="70" spans="1:60" ht="14.65" customHeight="1">
      <c r="A70" s="155" t="s">
        <v>277</v>
      </c>
      <c r="B70" s="348">
        <v>235000</v>
      </c>
      <c r="C70" s="348">
        <v>235000</v>
      </c>
      <c r="D70" s="348">
        <v>235000</v>
      </c>
      <c r="F70" s="164">
        <f>MEDIAN(B70:D70)</f>
        <v>235000</v>
      </c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</row>
    <row r="71" spans="1:60" ht="14.65" customHeight="1">
      <c r="A71" s="155" t="s">
        <v>278</v>
      </c>
      <c r="B71" s="348">
        <f>B70*0.2/12</f>
        <v>3916.6666666666665</v>
      </c>
      <c r="C71" s="348">
        <f>C70*0.2/12</f>
        <v>3916.6666666666665</v>
      </c>
      <c r="D71" s="348">
        <f>D70*0.2/12</f>
        <v>3916.6666666666665</v>
      </c>
      <c r="F71" s="164">
        <f>MEDIAN(B71:D71)</f>
        <v>3916.6666666666665</v>
      </c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</row>
    <row r="72" spans="1:60" ht="14.65" customHeight="1">
      <c r="A72" s="155" t="s">
        <v>279</v>
      </c>
      <c r="B72" s="348">
        <f>149.37/12</f>
        <v>12.4475</v>
      </c>
      <c r="C72" s="348">
        <f>149.37/12</f>
        <v>12.4475</v>
      </c>
      <c r="D72" s="348">
        <f>149.38/12</f>
        <v>12.448333333333332</v>
      </c>
      <c r="F72" s="164">
        <f t="shared" ref="F72:F78" si="4">MEDIAN(B72:D72)</f>
        <v>12.4475</v>
      </c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</row>
    <row r="73" spans="1:60" ht="14.65" customHeight="1">
      <c r="A73" s="155" t="s">
        <v>280</v>
      </c>
      <c r="B73" s="348">
        <v>0</v>
      </c>
      <c r="C73" s="348">
        <v>0</v>
      </c>
      <c r="D73" s="348">
        <v>0</v>
      </c>
      <c r="F73" s="164">
        <f t="shared" si="4"/>
        <v>0</v>
      </c>
      <c r="G73" s="155" t="s">
        <v>281</v>
      </c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</row>
    <row r="74" spans="1:60" ht="14.65" customHeight="1">
      <c r="A74" s="155" t="s">
        <v>282</v>
      </c>
      <c r="B74" s="348">
        <f>B70*0.01/12</f>
        <v>195.83333333333334</v>
      </c>
      <c r="C74" s="348">
        <f>C70*0.01/12</f>
        <v>195.83333333333334</v>
      </c>
      <c r="D74" s="348">
        <f>D70*0.01/12</f>
        <v>195.83333333333334</v>
      </c>
      <c r="F74" s="164">
        <f t="shared" si="4"/>
        <v>195.83333333333334</v>
      </c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</row>
    <row r="75" spans="1:60" ht="14.65" customHeight="1">
      <c r="A75" s="155" t="s">
        <v>283</v>
      </c>
      <c r="B75" s="348">
        <f>B70*0.04/12</f>
        <v>783.33333333333337</v>
      </c>
      <c r="C75" s="348">
        <f>C70*0.04/12</f>
        <v>783.33333333333337</v>
      </c>
      <c r="D75" s="348">
        <f>D70*0.04/12</f>
        <v>783.33333333333337</v>
      </c>
      <c r="E75" s="365"/>
      <c r="F75" s="164">
        <f t="shared" si="4"/>
        <v>783.33333333333337</v>
      </c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</row>
    <row r="76" spans="1:60" ht="14.65" customHeight="1">
      <c r="A76" s="155" t="s">
        <v>328</v>
      </c>
      <c r="B76" s="348">
        <f>B70*0.02/10</f>
        <v>470</v>
      </c>
      <c r="C76" s="348">
        <f t="shared" ref="C76:D76" si="5">C70*0.02/10</f>
        <v>470</v>
      </c>
      <c r="D76" s="348">
        <f t="shared" si="5"/>
        <v>470</v>
      </c>
      <c r="E76" s="365"/>
      <c r="F76" s="164">
        <f t="shared" si="4"/>
        <v>470</v>
      </c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</row>
    <row r="77" spans="1:60" ht="14.65" customHeight="1">
      <c r="A77" s="155" t="s">
        <v>285</v>
      </c>
      <c r="B77" s="344" t="s">
        <v>286</v>
      </c>
      <c r="C77" s="344" t="s">
        <v>286</v>
      </c>
      <c r="D77" s="344" t="s">
        <v>286</v>
      </c>
      <c r="F77" s="162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</row>
    <row r="78" spans="1:60" ht="14.65" customHeight="1">
      <c r="A78" s="155" t="s">
        <v>287</v>
      </c>
      <c r="B78" s="208">
        <v>164.5</v>
      </c>
      <c r="C78" s="208">
        <v>164.5</v>
      </c>
      <c r="D78" s="208">
        <v>164.5</v>
      </c>
      <c r="E78" s="365"/>
      <c r="F78" s="164">
        <f t="shared" si="4"/>
        <v>164.5</v>
      </c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</row>
    <row r="79" spans="1:60" ht="14.65" customHeight="1">
      <c r="A79" s="155" t="s">
        <v>288</v>
      </c>
      <c r="B79" s="208"/>
      <c r="C79" s="208"/>
      <c r="D79" s="208"/>
      <c r="E79" s="365"/>
      <c r="F79" s="165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</row>
    <row r="80" spans="1:60" ht="21.4" customHeight="1">
      <c r="A80" s="522" t="s">
        <v>329</v>
      </c>
      <c r="B80" s="522"/>
      <c r="C80" s="522"/>
      <c r="D80" s="522"/>
      <c r="E80" s="522"/>
      <c r="F80" s="522"/>
      <c r="G80" s="522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</row>
    <row r="81" spans="1:60" ht="17.100000000000001" customHeight="1">
      <c r="A81" s="156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</row>
    <row r="82" spans="1:60" ht="14.65" customHeight="1">
      <c r="A82" s="157" t="s">
        <v>241</v>
      </c>
      <c r="B82" s="342" t="s">
        <v>242</v>
      </c>
      <c r="C82" s="342" t="s">
        <v>330</v>
      </c>
      <c r="D82" s="342" t="s">
        <v>331</v>
      </c>
      <c r="F82" s="158" t="s">
        <v>308</v>
      </c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</row>
    <row r="83" spans="1:60" ht="14.65" customHeight="1">
      <c r="A83" s="159" t="s">
        <v>246</v>
      </c>
      <c r="B83" s="343" t="s">
        <v>332</v>
      </c>
      <c r="C83" s="343" t="s">
        <v>333</v>
      </c>
      <c r="D83" s="343" t="s">
        <v>334</v>
      </c>
      <c r="F83" s="160" t="s">
        <v>250</v>
      </c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</row>
    <row r="84" spans="1:60" ht="14.65" customHeight="1">
      <c r="A84" s="161" t="s">
        <v>251</v>
      </c>
      <c r="B84" s="344" t="s">
        <v>335</v>
      </c>
      <c r="C84" s="344" t="s">
        <v>336</v>
      </c>
      <c r="D84" s="344" t="s">
        <v>313</v>
      </c>
      <c r="F84" s="167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</row>
    <row r="85" spans="1:60" ht="14.65" customHeight="1">
      <c r="A85" s="161" t="s">
        <v>337</v>
      </c>
      <c r="B85" s="344" t="s">
        <v>338</v>
      </c>
      <c r="C85" s="344" t="s">
        <v>339</v>
      </c>
      <c r="D85" s="344" t="s">
        <v>340</v>
      </c>
      <c r="F85" s="167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</row>
    <row r="86" spans="1:60" ht="14.65" customHeight="1">
      <c r="A86" s="161" t="s">
        <v>341</v>
      </c>
      <c r="B86" s="344">
        <v>9.9</v>
      </c>
      <c r="C86" s="344">
        <v>9.1999999999999993</v>
      </c>
      <c r="D86" s="344">
        <v>10.1</v>
      </c>
      <c r="F86" s="164">
        <f>AVERAGE(B86:D86)</f>
        <v>9.7333333333333343</v>
      </c>
      <c r="G86" s="155" t="s">
        <v>258</v>
      </c>
      <c r="H86" s="521" t="s">
        <v>259</v>
      </c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</row>
    <row r="87" spans="1:60" ht="14.65" customHeight="1">
      <c r="A87" s="161" t="s">
        <v>342</v>
      </c>
      <c r="B87" s="344">
        <v>10</v>
      </c>
      <c r="C87" s="344">
        <v>10</v>
      </c>
      <c r="D87" s="344">
        <v>9.8000000000000007</v>
      </c>
      <c r="F87" s="164">
        <f>AVERAGE(B87:D87)</f>
        <v>9.9333333333333336</v>
      </c>
      <c r="G87" s="155" t="s">
        <v>261</v>
      </c>
      <c r="H87" s="521"/>
      <c r="I87" s="313">
        <f>(F86+F87)/2</f>
        <v>9.8333333333333339</v>
      </c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</row>
    <row r="88" spans="1:60" ht="14.65" customHeight="1">
      <c r="A88" s="161" t="s">
        <v>262</v>
      </c>
      <c r="B88" s="344" t="s">
        <v>343</v>
      </c>
      <c r="C88" s="344" t="s">
        <v>344</v>
      </c>
      <c r="D88" s="344" t="s">
        <v>345</v>
      </c>
      <c r="F88" s="167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</row>
    <row r="89" spans="1:60" ht="14.65" customHeight="1">
      <c r="A89" s="161" t="s">
        <v>265</v>
      </c>
      <c r="B89" s="344">
        <v>554.70000000000005</v>
      </c>
      <c r="C89" s="344">
        <v>542.71</v>
      </c>
      <c r="D89" s="344">
        <v>542.5</v>
      </c>
      <c r="F89" s="360">
        <f>MEDIAN(B89:D89)</f>
        <v>542.71</v>
      </c>
      <c r="G89" s="322" t="s">
        <v>266</v>
      </c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</row>
    <row r="90" spans="1:60" ht="14.65" customHeight="1">
      <c r="A90" s="161" t="s">
        <v>346</v>
      </c>
      <c r="B90" s="344" t="s">
        <v>347</v>
      </c>
      <c r="C90" s="344" t="s">
        <v>348</v>
      </c>
      <c r="D90" s="344" t="s">
        <v>349</v>
      </c>
      <c r="F90" s="167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</row>
    <row r="91" spans="1:60" ht="14.65" customHeight="1">
      <c r="A91" s="161" t="s">
        <v>271</v>
      </c>
      <c r="B91" s="344" t="s">
        <v>350</v>
      </c>
      <c r="C91" s="347" t="s">
        <v>272</v>
      </c>
      <c r="D91" s="347" t="s">
        <v>272</v>
      </c>
      <c r="E91" s="168"/>
      <c r="F91" s="167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</row>
    <row r="92" spans="1:60" ht="14.65" customHeight="1">
      <c r="A92" s="161" t="s">
        <v>273</v>
      </c>
      <c r="B92" s="344" t="s">
        <v>351</v>
      </c>
      <c r="C92" s="344" t="s">
        <v>351</v>
      </c>
      <c r="D92" s="344" t="s">
        <v>351</v>
      </c>
      <c r="F92" s="167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</row>
    <row r="93" spans="1:60" ht="14.65" customHeight="1">
      <c r="A93" s="161" t="s">
        <v>275</v>
      </c>
      <c r="B93" s="344" t="s">
        <v>274</v>
      </c>
      <c r="C93" s="344" t="s">
        <v>274</v>
      </c>
      <c r="D93" s="344" t="s">
        <v>274</v>
      </c>
      <c r="F93" s="167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</row>
    <row r="94" spans="1:60" ht="14.65" customHeight="1">
      <c r="A94" s="155" t="s">
        <v>277</v>
      </c>
      <c r="B94" s="351">
        <v>249900</v>
      </c>
      <c r="C94" s="351">
        <v>266000</v>
      </c>
      <c r="D94" s="351">
        <v>250200</v>
      </c>
      <c r="E94" s="365"/>
      <c r="F94" s="164">
        <f>MEDIAN(B94:D94)</f>
        <v>250200</v>
      </c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</row>
    <row r="95" spans="1:60" ht="14.65" customHeight="1">
      <c r="A95" s="155" t="s">
        <v>352</v>
      </c>
      <c r="B95" s="208">
        <f>AVERAGE(B94:B94)</f>
        <v>249900</v>
      </c>
      <c r="C95" s="208">
        <f>AVERAGE(C94:C94)</f>
        <v>266000</v>
      </c>
      <c r="D95" s="208">
        <v>250200</v>
      </c>
      <c r="E95" s="365"/>
      <c r="F95" s="164">
        <f t="shared" ref="F95:F97" si="6">MEDIAN(B95:D95)</f>
        <v>250200</v>
      </c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</row>
    <row r="96" spans="1:60" ht="14.65" customHeight="1">
      <c r="A96" s="155" t="s">
        <v>353</v>
      </c>
      <c r="B96" s="208">
        <f>B95*0.2/12</f>
        <v>4165</v>
      </c>
      <c r="C96" s="208">
        <f>C95*0.2/12</f>
        <v>4433.333333333333</v>
      </c>
      <c r="D96" s="208">
        <f>D95*0.2/12</f>
        <v>4170</v>
      </c>
      <c r="E96" s="365"/>
      <c r="F96" s="164">
        <f t="shared" si="6"/>
        <v>4170</v>
      </c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</row>
    <row r="97" spans="1:60" ht="14.65" customHeight="1">
      <c r="A97" s="155" t="s">
        <v>354</v>
      </c>
      <c r="B97" s="208">
        <f>B95*0.01/15</f>
        <v>166.6</v>
      </c>
      <c r="C97" s="208">
        <f t="shared" ref="C97:D97" si="7">C95*0.01/15</f>
        <v>177.33333333333334</v>
      </c>
      <c r="D97" s="208">
        <f t="shared" si="7"/>
        <v>166.8</v>
      </c>
      <c r="E97" s="365"/>
      <c r="F97" s="164">
        <f t="shared" si="6"/>
        <v>166.8</v>
      </c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</row>
    <row r="98" spans="1:60" ht="14.65" customHeight="1">
      <c r="A98" s="155" t="s">
        <v>285</v>
      </c>
      <c r="B98" s="344" t="s">
        <v>355</v>
      </c>
      <c r="C98" s="344" t="s">
        <v>355</v>
      </c>
      <c r="D98" s="344" t="s">
        <v>356</v>
      </c>
      <c r="E98" s="365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</row>
    <row r="99" spans="1:60"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</row>
    <row r="100" spans="1:60" ht="25.5">
      <c r="A100" s="519" t="s">
        <v>357</v>
      </c>
      <c r="B100" s="519"/>
      <c r="C100" s="519"/>
      <c r="D100" s="519"/>
      <c r="E100" s="361" t="s">
        <v>358</v>
      </c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</row>
    <row r="101" spans="1:60">
      <c r="A101" s="187" t="s">
        <v>359</v>
      </c>
      <c r="B101" s="352" t="s">
        <v>360</v>
      </c>
      <c r="C101" s="352" t="s">
        <v>361</v>
      </c>
      <c r="D101" s="352" t="s">
        <v>362</v>
      </c>
      <c r="E101" s="362">
        <v>4.8300000000000003E-2</v>
      </c>
      <c r="F101" s="340" t="s">
        <v>308</v>
      </c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</row>
    <row r="102" spans="1:60">
      <c r="A102" s="186" t="s">
        <v>363</v>
      </c>
      <c r="B102" s="356" t="s">
        <v>364</v>
      </c>
      <c r="C102" s="353">
        <v>45132</v>
      </c>
      <c r="D102" s="354">
        <v>909.33</v>
      </c>
      <c r="E102" s="363">
        <f>(D102*$E$101)+D102</f>
        <v>953.25063900000009</v>
      </c>
      <c r="F102" s="520">
        <v>953.25063900000009</v>
      </c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</row>
    <row r="103" spans="1:60">
      <c r="A103" s="186" t="s">
        <v>365</v>
      </c>
      <c r="B103" s="357" t="s">
        <v>366</v>
      </c>
      <c r="C103" s="353">
        <v>45057</v>
      </c>
      <c r="D103" s="354">
        <v>894.93</v>
      </c>
      <c r="E103" s="363">
        <f>(D103*$E$101)+D103</f>
        <v>938.1551189999999</v>
      </c>
      <c r="F103" s="520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</row>
    <row r="104" spans="1:60">
      <c r="A104" s="186" t="s">
        <v>367</v>
      </c>
      <c r="B104" s="358" t="s">
        <v>368</v>
      </c>
      <c r="C104" s="355">
        <v>44986</v>
      </c>
      <c r="D104" s="341">
        <v>1033.33</v>
      </c>
      <c r="E104" s="363">
        <f>(D104*$E$101)+D104</f>
        <v>1083.2398389999998</v>
      </c>
      <c r="F104" s="520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</row>
    <row r="105" spans="1:60">
      <c r="A105" s="155" t="s">
        <v>369</v>
      </c>
      <c r="B105" s="341" t="s">
        <v>370</v>
      </c>
      <c r="C105" s="341" t="s">
        <v>370</v>
      </c>
      <c r="D105" s="341" t="s">
        <v>370</v>
      </c>
      <c r="E105" s="162">
        <v>174.73</v>
      </c>
      <c r="F105" s="212"/>
      <c r="G105" s="211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</row>
    <row r="106" spans="1:60">
      <c r="A106" s="364" t="s">
        <v>371</v>
      </c>
      <c r="B106" s="166"/>
      <c r="C106" s="166"/>
      <c r="D106" s="166"/>
      <c r="E106" s="366">
        <f>F102+E105</f>
        <v>1127.9806390000001</v>
      </c>
      <c r="F106" s="211"/>
      <c r="G106" s="211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</row>
  </sheetData>
  <mergeCells count="14">
    <mergeCell ref="A1:G1"/>
    <mergeCell ref="A2:G2"/>
    <mergeCell ref="A3:G3"/>
    <mergeCell ref="A4:G4"/>
    <mergeCell ref="A6:G6"/>
    <mergeCell ref="A100:D100"/>
    <mergeCell ref="F102:F104"/>
    <mergeCell ref="H12:H13"/>
    <mergeCell ref="H62:H63"/>
    <mergeCell ref="H86:H87"/>
    <mergeCell ref="A80:G80"/>
    <mergeCell ref="A56:G56"/>
    <mergeCell ref="A31:G31"/>
    <mergeCell ref="H37:H38"/>
  </mergeCells>
  <pageMargins left="0.78749999999999998" right="0.78749999999999998" top="1.1229166666666699" bottom="1.1229166666666699" header="0.78749999999999998" footer="0.78749999999999998"/>
  <pageSetup paperSize="9" firstPageNumber="0" orientation="portrait" horizontalDpi="300" verticalDpi="300"/>
  <headerFooter>
    <oddHeader>&amp;C&amp;"Arial1,Regular"&amp;10&amp;A</oddHeader>
    <oddFooter>&amp;C&amp;"Arial1,Regular"&amp;10Página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Q43"/>
  <sheetViews>
    <sheetView zoomScaleNormal="100" workbookViewId="0">
      <pane ySplit="8" topLeftCell="A24" activePane="bottomLeft" state="frozen"/>
      <selection pane="bottomLeft" activeCell="D40" sqref="D40"/>
    </sheetView>
  </sheetViews>
  <sheetFormatPr defaultColWidth="8.5" defaultRowHeight="14.25"/>
  <cols>
    <col min="1" max="1" width="53.25" style="79" customWidth="1"/>
    <col min="2" max="2" width="18.5" style="79" customWidth="1"/>
    <col min="3" max="5" width="12.75" style="79" customWidth="1"/>
    <col min="6" max="6" width="12.375" style="79" customWidth="1"/>
    <col min="7" max="9" width="12.75" style="79" customWidth="1"/>
    <col min="10" max="30" width="8.625" style="79" customWidth="1"/>
    <col min="31" max="62" width="8.625" style="80" customWidth="1"/>
    <col min="63" max="228" width="8.625" customWidth="1"/>
    <col min="229" max="251" width="8.625" style="2" customWidth="1"/>
  </cols>
  <sheetData>
    <row r="1" spans="1:6" ht="19.350000000000001" customHeight="1">
      <c r="A1" s="452" t="s">
        <v>1</v>
      </c>
      <c r="B1" s="452"/>
      <c r="C1" s="452"/>
      <c r="D1" s="452"/>
      <c r="E1" s="452"/>
      <c r="F1" s="452"/>
    </row>
    <row r="2" spans="1:6" ht="14.65" customHeight="1">
      <c r="A2" s="480" t="s">
        <v>89</v>
      </c>
      <c r="B2" s="480"/>
      <c r="C2" s="480"/>
      <c r="D2" s="480"/>
      <c r="E2" s="480"/>
      <c r="F2" s="480"/>
    </row>
    <row r="3" spans="1:6" ht="14.65" customHeight="1">
      <c r="A3" s="526" t="s">
        <v>372</v>
      </c>
      <c r="B3" s="526"/>
      <c r="C3" s="526"/>
      <c r="D3" s="526"/>
      <c r="E3" s="526"/>
      <c r="F3" s="526"/>
    </row>
    <row r="4" spans="1:6" ht="24.4" customHeight="1">
      <c r="A4" s="455" t="s">
        <v>373</v>
      </c>
      <c r="B4" s="455"/>
      <c r="C4" s="455"/>
      <c r="D4" s="455"/>
      <c r="E4" s="455"/>
      <c r="F4" s="455"/>
    </row>
    <row r="5" spans="1:6" ht="14.65" customHeight="1">
      <c r="A5" s="1"/>
      <c r="B5" s="1"/>
      <c r="C5" s="1"/>
      <c r="D5" s="1"/>
      <c r="E5" s="1"/>
      <c r="F5" s="1"/>
    </row>
    <row r="6" spans="1:6" ht="17.100000000000001" customHeight="1">
      <c r="A6" s="527" t="s">
        <v>374</v>
      </c>
      <c r="B6" s="527"/>
      <c r="C6" s="527"/>
      <c r="D6" s="527"/>
      <c r="E6" s="527"/>
      <c r="F6" s="527"/>
    </row>
    <row r="7" spans="1:6" ht="14.65" customHeight="1">
      <c r="A7" s="528" t="s">
        <v>375</v>
      </c>
      <c r="B7" s="528"/>
      <c r="C7" s="537" t="s">
        <v>30</v>
      </c>
      <c r="D7" s="537"/>
      <c r="E7" s="82" t="s">
        <v>31</v>
      </c>
      <c r="F7" s="82" t="s">
        <v>9</v>
      </c>
    </row>
    <row r="8" spans="1:6" ht="15.75" customHeight="1">
      <c r="A8" s="528"/>
      <c r="B8" s="528"/>
      <c r="C8" s="324" t="s">
        <v>376</v>
      </c>
      <c r="D8" s="324" t="s">
        <v>377</v>
      </c>
      <c r="E8" s="337" t="s">
        <v>376</v>
      </c>
      <c r="F8" s="324" t="s">
        <v>378</v>
      </c>
    </row>
    <row r="9" spans="1:6" ht="15.75" customHeight="1">
      <c r="A9" s="83" t="s">
        <v>379</v>
      </c>
      <c r="B9" s="84" t="s">
        <v>380</v>
      </c>
      <c r="C9" s="84" t="s">
        <v>155</v>
      </c>
      <c r="D9" s="334" t="s">
        <v>155</v>
      </c>
      <c r="E9" s="339" t="s">
        <v>155</v>
      </c>
      <c r="F9" s="336" t="s">
        <v>155</v>
      </c>
    </row>
    <row r="10" spans="1:6" ht="14.65" customHeight="1">
      <c r="A10" s="85" t="s">
        <v>381</v>
      </c>
      <c r="B10" s="86" t="s">
        <v>382</v>
      </c>
      <c r="C10" s="87">
        <f>'Valores e modelos Veículos'!F21</f>
        <v>1700</v>
      </c>
      <c r="D10" s="331">
        <f>'Valores e modelos Veículos'!F46</f>
        <v>2516.7083333333335</v>
      </c>
      <c r="E10" s="333">
        <f>'Valores e modelos Veículos'!F71</f>
        <v>3916.6666666666665</v>
      </c>
      <c r="F10" s="529">
        <f>'Valores e modelos Veículos'!E106</f>
        <v>1127.9806390000001</v>
      </c>
    </row>
    <row r="11" spans="1:6" ht="14.65" customHeight="1">
      <c r="A11" s="88" t="s">
        <v>383</v>
      </c>
      <c r="B11" s="89"/>
      <c r="C11" s="90">
        <f>'Valores e modelos Veículos'!F22</f>
        <v>12.447777777777778</v>
      </c>
      <c r="D11" s="332">
        <f>'Valores e modelos Veículos'!F47</f>
        <v>12.447916666666666</v>
      </c>
      <c r="E11" s="333">
        <f>'Valores e modelos Veículos'!F72</f>
        <v>12.4475</v>
      </c>
      <c r="F11" s="530"/>
    </row>
    <row r="12" spans="1:6" ht="14.65" customHeight="1">
      <c r="A12" s="88" t="s">
        <v>384</v>
      </c>
      <c r="B12" s="89"/>
      <c r="C12" s="90">
        <f>'Valores e modelos Veículos'!F23</f>
        <v>0</v>
      </c>
      <c r="D12" s="332">
        <f>'Valores e modelos Veículos'!F48</f>
        <v>0</v>
      </c>
      <c r="E12" s="333">
        <f>'Valores e modelos Veículos'!F73</f>
        <v>0</v>
      </c>
      <c r="F12" s="530"/>
    </row>
    <row r="13" spans="1:6" ht="14.65" customHeight="1">
      <c r="A13" s="88" t="s">
        <v>385</v>
      </c>
      <c r="B13" s="91"/>
      <c r="C13" s="90">
        <f>'Valores e modelos Veículos'!F24</f>
        <v>85</v>
      </c>
      <c r="D13" s="332">
        <f>'Valores e modelos Veículos'!F49</f>
        <v>85</v>
      </c>
      <c r="E13" s="333">
        <f>'Valores e modelos Veículos'!F74</f>
        <v>195.83333333333334</v>
      </c>
      <c r="F13" s="530"/>
    </row>
    <row r="14" spans="1:6" ht="12.75" customHeight="1">
      <c r="A14" s="88" t="s">
        <v>386</v>
      </c>
      <c r="B14" s="91"/>
      <c r="C14" s="90">
        <f>'Valores e modelos Veículos'!F25</f>
        <v>340</v>
      </c>
      <c r="D14" s="332">
        <f>'Valores e modelos Veículos'!F50</f>
        <v>503.3416666666667</v>
      </c>
      <c r="E14" s="333">
        <f>'Valores e modelos Veículos'!F75</f>
        <v>783.33333333333337</v>
      </c>
      <c r="F14" s="530"/>
    </row>
    <row r="15" spans="1:6" ht="14.65" customHeight="1">
      <c r="A15" s="88" t="s">
        <v>387</v>
      </c>
      <c r="B15" s="91"/>
      <c r="C15" s="90">
        <f>'Valores e modelos Veículos'!F28*2</f>
        <v>150</v>
      </c>
      <c r="D15" s="332">
        <f>'Valores e modelos Veículos'!F53*2</f>
        <v>150</v>
      </c>
      <c r="E15" s="333">
        <f>'Valores e modelos Veículos'!F78*2</f>
        <v>329</v>
      </c>
      <c r="F15" s="530"/>
    </row>
    <row r="16" spans="1:6" ht="14.65" customHeight="1">
      <c r="A16" s="92" t="s">
        <v>388</v>
      </c>
      <c r="B16" s="93"/>
      <c r="C16" s="94"/>
      <c r="D16" s="335"/>
      <c r="E16" s="197"/>
      <c r="F16" s="531"/>
    </row>
    <row r="17" spans="1:7" ht="15.75" customHeight="1">
      <c r="A17" s="95" t="s">
        <v>389</v>
      </c>
      <c r="B17" s="96"/>
      <c r="C17" s="97">
        <f>SUM(C10:C16)</f>
        <v>2287.4477777777774</v>
      </c>
      <c r="D17" s="97">
        <f>SUM(D10:D16)</f>
        <v>3267.4979166666667</v>
      </c>
      <c r="E17" s="338">
        <f>SUM(E10:E16)</f>
        <v>5237.2808333333332</v>
      </c>
      <c r="F17" s="97">
        <f>SUM(F10:F15)</f>
        <v>1127.9806390000001</v>
      </c>
    </row>
    <row r="18" spans="1:7" ht="15.75" customHeight="1">
      <c r="A18" s="98"/>
      <c r="B18" s="99"/>
      <c r="C18" s="100"/>
      <c r="D18" s="100"/>
      <c r="E18" s="100"/>
      <c r="F18" s="100"/>
    </row>
    <row r="19" spans="1:7" ht="15.75" customHeight="1">
      <c r="A19" s="527" t="s">
        <v>390</v>
      </c>
      <c r="B19" s="527"/>
      <c r="C19" s="527"/>
      <c r="D19" s="527"/>
      <c r="E19" s="527"/>
      <c r="F19" s="527"/>
    </row>
    <row r="20" spans="1:7" ht="14.65" customHeight="1">
      <c r="A20" s="101" t="s">
        <v>391</v>
      </c>
      <c r="B20" s="195" t="s">
        <v>154</v>
      </c>
      <c r="C20" s="190" t="s">
        <v>155</v>
      </c>
      <c r="D20" s="84" t="s">
        <v>155</v>
      </c>
      <c r="E20" s="190" t="s">
        <v>155</v>
      </c>
      <c r="F20" s="190" t="s">
        <v>155</v>
      </c>
    </row>
    <row r="21" spans="1:7" ht="14.65" customHeight="1">
      <c r="A21" s="191" t="s">
        <v>392</v>
      </c>
      <c r="B21" s="198">
        <f>'SC '!B92</f>
        <v>0.06</v>
      </c>
      <c r="C21" s="204">
        <f>$B$21*C17</f>
        <v>137.24686666666665</v>
      </c>
      <c r="D21" s="204">
        <f>$B$21*D17</f>
        <v>196.04987499999999</v>
      </c>
      <c r="E21" s="204">
        <f t="shared" ref="E21:F21" si="0">$B$21*E17</f>
        <v>314.23685</v>
      </c>
      <c r="F21" s="204">
        <f t="shared" si="0"/>
        <v>67.678838339999999</v>
      </c>
    </row>
    <row r="22" spans="1:7" ht="14.65" customHeight="1">
      <c r="A22" s="192" t="s">
        <v>393</v>
      </c>
      <c r="B22" s="199">
        <f>'SC '!B93</f>
        <v>6.7900000000000002E-2</v>
      </c>
      <c r="C22" s="205">
        <f>$B$22*(C17+C21)</f>
        <v>164.63676635777776</v>
      </c>
      <c r="D22" s="205">
        <f>$B$22*(D17+D21)</f>
        <v>235.17489505416668</v>
      </c>
      <c r="E22" s="205">
        <f t="shared" ref="E22:F22" si="1">$B$22*(E17+E21)</f>
        <v>376.94805069833336</v>
      </c>
      <c r="F22" s="205">
        <f t="shared" si="1"/>
        <v>81.185278511386016</v>
      </c>
    </row>
    <row r="23" spans="1:7" ht="14.65" customHeight="1">
      <c r="A23" s="193" t="s">
        <v>394</v>
      </c>
      <c r="B23" s="200">
        <f>B24+B25</f>
        <v>5.6499999999999995E-2</v>
      </c>
      <c r="C23" s="206">
        <f>((C17+C$21+C$22)/(1-($B23)))*$B23</f>
        <v>155.05800181274566</v>
      </c>
      <c r="D23" s="206">
        <f>((D17+D$21+D$22)/(1-($B23)))*$B23</f>
        <v>221.49213757257772</v>
      </c>
      <c r="E23" s="206">
        <f t="shared" ref="E23:F23" si="2">((E17+E$21+E$22)/(1-($B23)))*$B23</f>
        <v>355.01676096745007</v>
      </c>
      <c r="F23" s="206">
        <f t="shared" si="2"/>
        <v>76.461821627560482</v>
      </c>
    </row>
    <row r="24" spans="1:7" ht="14.65" customHeight="1">
      <c r="A24" s="192" t="s">
        <v>395</v>
      </c>
      <c r="B24" s="199">
        <v>3.6499999999999998E-2</v>
      </c>
      <c r="C24" s="205">
        <f>ROUND(((C17+C$21+C$22)/(1-$B$23))*$B$24,2)</f>
        <v>100.17</v>
      </c>
      <c r="D24" s="205">
        <f>ROUND(((D17+D$21+D$22)/(1-$B$23))*$B$24,2)</f>
        <v>143.09</v>
      </c>
      <c r="E24" s="205">
        <f t="shared" ref="E24:F24" si="3">ROUND(((E17+E$21+E$22)/(1-$B$23))*$B$24,2)</f>
        <v>229.35</v>
      </c>
      <c r="F24" s="205">
        <f t="shared" si="3"/>
        <v>49.4</v>
      </c>
      <c r="G24" s="395"/>
    </row>
    <row r="25" spans="1:7" ht="14.65" customHeight="1">
      <c r="A25" s="192" t="s">
        <v>396</v>
      </c>
      <c r="B25" s="201">
        <v>0.02</v>
      </c>
      <c r="C25" s="205">
        <f>ROUND(((C17+C$21+C$22)/(1-$B23))*$B25,2)</f>
        <v>54.89</v>
      </c>
      <c r="D25" s="205">
        <f>ROUND(((D17+D$21+D$22)/(1-$B23))*$B25,2)</f>
        <v>78.400000000000006</v>
      </c>
      <c r="E25" s="205">
        <f t="shared" ref="E25:F25" si="4">ROUND(((E17+E$21+E$22)/(1-$B23))*$B25,2)</f>
        <v>125.67</v>
      </c>
      <c r="F25" s="205">
        <f t="shared" si="4"/>
        <v>27.07</v>
      </c>
    </row>
    <row r="26" spans="1:7" ht="14.65" customHeight="1">
      <c r="A26" s="193" t="s">
        <v>397</v>
      </c>
      <c r="B26" s="200">
        <f>B27+B28</f>
        <v>6.6500000000000004E-2</v>
      </c>
      <c r="C26" s="206">
        <f>((C17+C$21+C$22)/(1-($B26)))*$B26</f>
        <v>184.45692428317918</v>
      </c>
      <c r="D26" s="206">
        <f>((D17+D$21+D$22)/(1-($B26)))*$B26</f>
        <v>263.48694018953984</v>
      </c>
      <c r="E26" s="206">
        <f t="shared" ref="E26:F26" si="5">((E17+E$21+E$22)/(1-($B26)))*$B26</f>
        <v>422.32776787692114</v>
      </c>
      <c r="F26" s="206">
        <f t="shared" si="5"/>
        <v>90.958946185449591</v>
      </c>
    </row>
    <row r="27" spans="1:7" ht="14.65" customHeight="1">
      <c r="A27" s="192" t="s">
        <v>395</v>
      </c>
      <c r="B27" s="201">
        <f>B$24</f>
        <v>3.6499999999999998E-2</v>
      </c>
      <c r="C27" s="205">
        <f>ROUND(((C17+C$21+C$22)/(1-$B26))*$B27,2)</f>
        <v>101.24</v>
      </c>
      <c r="D27" s="205">
        <f>ROUND(((D17+D$21+D$22)/(1-$B26))*$B27,2)</f>
        <v>144.62</v>
      </c>
      <c r="E27" s="205">
        <f t="shared" ref="E27:F27" si="6">ROUND(((E17+E$21+E$22)/(1-$B26))*$B27,2)</f>
        <v>231.8</v>
      </c>
      <c r="F27" s="205">
        <f t="shared" si="6"/>
        <v>49.92</v>
      </c>
    </row>
    <row r="28" spans="1:7" ht="14.65" customHeight="1">
      <c r="A28" s="192" t="s">
        <v>396</v>
      </c>
      <c r="B28" s="201">
        <v>0.03</v>
      </c>
      <c r="C28" s="205">
        <f>ROUND(((C17+C$21+C$22)/(1-$B26))*$B28,2)</f>
        <v>83.21</v>
      </c>
      <c r="D28" s="205">
        <f>ROUND(((D17+D$21+D$22)/(1-$B26))*$B28,2)</f>
        <v>118.87</v>
      </c>
      <c r="E28" s="205">
        <f t="shared" ref="E28:F28" si="7">ROUND(((E17+E$21+E$22)/(1-$B26))*$B28,2)</f>
        <v>190.52</v>
      </c>
      <c r="F28" s="205">
        <f t="shared" si="7"/>
        <v>41.03</v>
      </c>
    </row>
    <row r="29" spans="1:7" ht="14.65" customHeight="1">
      <c r="A29" s="193" t="s">
        <v>398</v>
      </c>
      <c r="B29" s="200">
        <f>B30+B31</f>
        <v>8.6499999999999994E-2</v>
      </c>
      <c r="C29" s="206">
        <f>((C17+C$21+C$22)/(1-($B29)))*$B29</f>
        <v>245.18573293310584</v>
      </c>
      <c r="D29" s="206">
        <f>((D17+D$21+D$22)/(1-($B29)))*$B29</f>
        <v>350.23482474149108</v>
      </c>
      <c r="E29" s="206">
        <f>((E17+E$21+E$22)/(1-($B29)))*$B29</f>
        <v>561.37086589352941</v>
      </c>
      <c r="F29" s="206">
        <f>((F17+F$21+F$22)/(1-($B29)))*$B29</f>
        <v>120.90538739041587</v>
      </c>
    </row>
    <row r="30" spans="1:7" ht="14.65" customHeight="1">
      <c r="A30" s="192" t="s">
        <v>395</v>
      </c>
      <c r="B30" s="201">
        <f>B$24</f>
        <v>3.6499999999999998E-2</v>
      </c>
      <c r="C30" s="205">
        <f>ROUND(((C17+C$21+C$22)/(1-$B29))*$B30,2)</f>
        <v>103.46</v>
      </c>
      <c r="D30" s="205">
        <f>ROUND(((D17+D$21+D$22)/(1-$B29))*$B30,2)</f>
        <v>147.79</v>
      </c>
      <c r="E30" s="205">
        <f>ROUND(((E17+E$21+E$22)/(1-$B29))*$B30,2)</f>
        <v>236.88</v>
      </c>
      <c r="F30" s="205">
        <f>ROUND(((F17+F$21+F$22)/(1-$B29))*$B30,2)</f>
        <v>51.02</v>
      </c>
    </row>
    <row r="31" spans="1:7" ht="14.65" customHeight="1">
      <c r="A31" s="194" t="s">
        <v>396</v>
      </c>
      <c r="B31" s="202">
        <v>0.05</v>
      </c>
      <c r="C31" s="207">
        <f>ROUND(((C17+C$21+C$22)/(1-$B29))*$B31,2)</f>
        <v>141.72999999999999</v>
      </c>
      <c r="D31" s="207">
        <f>ROUND(((D17+D$21+D$22)/(1-$B29))*$B31,2)</f>
        <v>202.45</v>
      </c>
      <c r="E31" s="207">
        <f>ROUND(((E17+E$21+E$22)/(1-$B29))*$B31,2)</f>
        <v>324.49</v>
      </c>
      <c r="F31" s="207">
        <f>ROUND(((F17+F$21+F$22)/(1-$B29))*$B31,2)</f>
        <v>69.89</v>
      </c>
      <c r="G31" s="395"/>
    </row>
    <row r="32" spans="1:7" ht="14.65" customHeight="1">
      <c r="A32" s="533" t="s">
        <v>399</v>
      </c>
      <c r="B32" s="196">
        <f>B25</f>
        <v>0.02</v>
      </c>
      <c r="C32" s="203">
        <f t="shared" ref="C32:F32" si="8">C$21+C$22+C23</f>
        <v>456.94163483719007</v>
      </c>
      <c r="D32" s="203">
        <f t="shared" ref="D32:E32" si="9">D$21+D$22+D23</f>
        <v>652.71690762674439</v>
      </c>
      <c r="E32" s="203">
        <f t="shared" si="9"/>
        <v>1046.2016616657834</v>
      </c>
      <c r="F32" s="203">
        <f t="shared" si="8"/>
        <v>225.32593847894651</v>
      </c>
    </row>
    <row r="33" spans="1:6" ht="14.65" customHeight="1">
      <c r="A33" s="533"/>
      <c r="B33" s="115">
        <f>B28</f>
        <v>0.03</v>
      </c>
      <c r="C33" s="116">
        <f t="shared" ref="C33:F33" si="10">C$21+C$22+C26</f>
        <v>486.34055730762361</v>
      </c>
      <c r="D33" s="116">
        <f t="shared" ref="D33:E33" si="11">D$21+D$22+D26</f>
        <v>694.71171024370653</v>
      </c>
      <c r="E33" s="116">
        <f t="shared" si="11"/>
        <v>1113.5126685752546</v>
      </c>
      <c r="F33" s="116">
        <f t="shared" si="10"/>
        <v>239.82306303683561</v>
      </c>
    </row>
    <row r="34" spans="1:6" ht="14.65" customHeight="1">
      <c r="A34" s="533"/>
      <c r="B34" s="189">
        <f>B31</f>
        <v>0.05</v>
      </c>
      <c r="C34" s="116">
        <f t="shared" ref="C34:F34" si="12">C$21+C$22+C29</f>
        <v>547.06936595755019</v>
      </c>
      <c r="D34" s="116">
        <f t="shared" ref="D34:E34" si="13">D$21+D$22+D29</f>
        <v>781.45959479565772</v>
      </c>
      <c r="E34" s="116">
        <f t="shared" si="13"/>
        <v>1252.5557665918627</v>
      </c>
      <c r="F34" s="116">
        <f t="shared" si="12"/>
        <v>269.76950424180188</v>
      </c>
    </row>
    <row r="35" spans="1:6" ht="14.65" customHeight="1">
      <c r="A35" s="118"/>
      <c r="B35" s="119"/>
      <c r="C35" s="120"/>
      <c r="D35" s="120"/>
      <c r="E35" s="120"/>
      <c r="F35" s="120"/>
    </row>
    <row r="36" spans="1:6" ht="15.75" customHeight="1">
      <c r="A36" s="534" t="s">
        <v>400</v>
      </c>
      <c r="B36" s="534"/>
      <c r="C36" s="534"/>
      <c r="D36" s="534"/>
      <c r="E36" s="534"/>
      <c r="F36" s="534"/>
    </row>
    <row r="37" spans="1:6" ht="15.75" customHeight="1">
      <c r="A37" s="535" t="s">
        <v>401</v>
      </c>
      <c r="B37" s="535"/>
      <c r="C37" s="535"/>
      <c r="D37" s="535"/>
      <c r="E37" s="535"/>
      <c r="F37" s="535"/>
    </row>
    <row r="38" spans="1:6" ht="14.65" customHeight="1">
      <c r="A38" s="536" t="s">
        <v>402</v>
      </c>
      <c r="B38" s="122" t="s">
        <v>403</v>
      </c>
      <c r="C38" s="123">
        <f t="shared" ref="C38:F40" si="14">TRUNC((C$17+C32),2)</f>
        <v>2744.38</v>
      </c>
      <c r="D38" s="123">
        <f t="shared" ref="D38:E38" si="15">TRUNC((D$17+D32),2)</f>
        <v>3920.21</v>
      </c>
      <c r="E38" s="123">
        <f t="shared" si="15"/>
        <v>6283.48</v>
      </c>
      <c r="F38" s="123">
        <f t="shared" si="14"/>
        <v>1353.3</v>
      </c>
    </row>
    <row r="39" spans="1:6" ht="14.65" customHeight="1">
      <c r="A39" s="536"/>
      <c r="B39" s="122" t="s">
        <v>404</v>
      </c>
      <c r="C39" s="123">
        <f t="shared" si="14"/>
        <v>2773.78</v>
      </c>
      <c r="D39" s="123">
        <f t="shared" ref="D39:E39" si="16">TRUNC((D$17+D33),2)</f>
        <v>3962.2</v>
      </c>
      <c r="E39" s="123">
        <f t="shared" si="16"/>
        <v>6350.79</v>
      </c>
      <c r="F39" s="123">
        <f t="shared" si="14"/>
        <v>1367.8</v>
      </c>
    </row>
    <row r="40" spans="1:6" ht="14.65" customHeight="1">
      <c r="A40" s="536"/>
      <c r="B40" s="122" t="s">
        <v>405</v>
      </c>
      <c r="C40" s="123">
        <f t="shared" si="14"/>
        <v>2834.51</v>
      </c>
      <c r="D40" s="123">
        <f t="shared" ref="D40:E40" si="17">TRUNC((D$17+D34),2)</f>
        <v>4048.95</v>
      </c>
      <c r="E40" s="123">
        <f t="shared" si="17"/>
        <v>6489.83</v>
      </c>
      <c r="F40" s="123">
        <f t="shared" si="14"/>
        <v>1397.75</v>
      </c>
    </row>
    <row r="41" spans="1:6" ht="14.65" customHeight="1">
      <c r="A41" s="124"/>
      <c r="B41" s="125"/>
      <c r="C41" s="126"/>
      <c r="D41" s="126"/>
      <c r="E41" s="126"/>
      <c r="F41" s="126"/>
    </row>
    <row r="42" spans="1:6" ht="14.65" customHeight="1"/>
    <row r="43" spans="1:6" ht="42.95" customHeight="1">
      <c r="A43" s="532" t="s">
        <v>406</v>
      </c>
      <c r="B43" s="532"/>
      <c r="C43" s="532"/>
      <c r="D43" s="532"/>
      <c r="E43" s="532"/>
      <c r="F43" s="532"/>
    </row>
  </sheetData>
  <mergeCells count="14">
    <mergeCell ref="A7:B8"/>
    <mergeCell ref="F10:F16"/>
    <mergeCell ref="A19:F19"/>
    <mergeCell ref="A43:F43"/>
    <mergeCell ref="A32:A34"/>
    <mergeCell ref="A36:F36"/>
    <mergeCell ref="A37:F37"/>
    <mergeCell ref="A38:A40"/>
    <mergeCell ref="C7:D7"/>
    <mergeCell ref="A1:F1"/>
    <mergeCell ref="A2:F2"/>
    <mergeCell ref="A3:F3"/>
    <mergeCell ref="A4:F4"/>
    <mergeCell ref="A6:F6"/>
  </mergeCells>
  <pageMargins left="0.78749999999999998" right="0.78749999999999998" top="1.1513888888888899" bottom="1.1513888888888899" header="0.78749999999999998" footer="0.78749999999999998"/>
  <pageSetup paperSize="9" firstPageNumber="0" orientation="portrait" horizontalDpi="300" verticalDpi="300"/>
  <headerFooter>
    <oddHeader>&amp;C&amp;"Times New Roman1,Regular"&amp;12&amp;A</oddHeader>
    <oddFooter>&amp;C&amp;"Times New Roman1,Regular"&amp;12Página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48"/>
  <sheetViews>
    <sheetView zoomScaleNormal="100" workbookViewId="0">
      <pane ySplit="8" topLeftCell="A30" activePane="bottomLeft" state="frozen"/>
      <selection pane="bottomLeft" activeCell="I42" sqref="I42"/>
    </sheetView>
  </sheetViews>
  <sheetFormatPr defaultColWidth="8.5" defaultRowHeight="14.25"/>
  <cols>
    <col min="1" max="1" width="55.25" style="79" customWidth="1"/>
    <col min="2" max="2" width="17.5" style="79" customWidth="1"/>
    <col min="3" max="3" width="14.625" style="79" customWidth="1"/>
    <col min="4" max="9" width="12.75" style="79" customWidth="1"/>
    <col min="10" max="30" width="8.625" style="79" customWidth="1"/>
    <col min="31" max="62" width="8.625" style="80" customWidth="1"/>
  </cols>
  <sheetData>
    <row r="1" spans="1:6" ht="19.350000000000001" customHeight="1">
      <c r="A1" s="452" t="s">
        <v>1</v>
      </c>
      <c r="B1" s="452"/>
      <c r="C1" s="452"/>
      <c r="D1" s="452"/>
      <c r="E1" s="452"/>
      <c r="F1" s="452"/>
    </row>
    <row r="2" spans="1:6" ht="14.65" customHeight="1">
      <c r="A2" s="480" t="s">
        <v>89</v>
      </c>
      <c r="B2" s="480"/>
      <c r="C2" s="480"/>
      <c r="D2" s="480"/>
      <c r="E2" s="480"/>
      <c r="F2" s="480"/>
    </row>
    <row r="3" spans="1:6" ht="14.65" customHeight="1">
      <c r="A3" s="526" t="s">
        <v>3</v>
      </c>
      <c r="B3" s="526"/>
      <c r="C3" s="526"/>
      <c r="D3" s="526"/>
      <c r="E3" s="526"/>
      <c r="F3" s="526"/>
    </row>
    <row r="4" spans="1:6" ht="24.2" customHeight="1">
      <c r="A4" s="455" t="s">
        <v>407</v>
      </c>
      <c r="B4" s="455"/>
      <c r="C4" s="455"/>
      <c r="D4" s="455"/>
      <c r="E4" s="455"/>
      <c r="F4" s="455"/>
    </row>
    <row r="5" spans="1:6" ht="14.65" customHeight="1">
      <c r="A5" s="1"/>
      <c r="B5" s="1"/>
      <c r="C5" s="1"/>
      <c r="D5" s="1"/>
      <c r="E5" s="1"/>
      <c r="F5" s="1"/>
    </row>
    <row r="6" spans="1:6" ht="17.100000000000001" customHeight="1">
      <c r="A6" s="527" t="s">
        <v>408</v>
      </c>
      <c r="B6" s="527"/>
      <c r="C6" s="527"/>
      <c r="D6" s="527"/>
      <c r="E6" s="527"/>
      <c r="F6" s="527"/>
    </row>
    <row r="7" spans="1:6" ht="14.65" customHeight="1">
      <c r="A7" s="528" t="s">
        <v>409</v>
      </c>
      <c r="B7" s="528"/>
      <c r="C7" s="537" t="s">
        <v>30</v>
      </c>
      <c r="D7" s="537"/>
      <c r="E7" s="82" t="s">
        <v>31</v>
      </c>
      <c r="F7" s="82" t="s">
        <v>9</v>
      </c>
    </row>
    <row r="8" spans="1:6" ht="15.75" customHeight="1">
      <c r="A8" s="528"/>
      <c r="B8" s="528"/>
      <c r="C8" s="324" t="s">
        <v>376</v>
      </c>
      <c r="D8" s="324" t="s">
        <v>377</v>
      </c>
      <c r="E8" s="324" t="s">
        <v>376</v>
      </c>
      <c r="F8" s="323" t="s">
        <v>378</v>
      </c>
    </row>
    <row r="9" spans="1:6" ht="15.75" customHeight="1">
      <c r="A9" s="83" t="s">
        <v>410</v>
      </c>
      <c r="B9" s="84" t="s">
        <v>380</v>
      </c>
      <c r="C9" s="84" t="s">
        <v>155</v>
      </c>
      <c r="D9" s="84" t="s">
        <v>155</v>
      </c>
      <c r="E9" s="84" t="s">
        <v>155</v>
      </c>
      <c r="F9" s="84" t="s">
        <v>155</v>
      </c>
    </row>
    <row r="10" spans="1:6" ht="14.65" customHeight="1">
      <c r="A10" s="85" t="s">
        <v>411</v>
      </c>
      <c r="B10" s="127"/>
      <c r="C10" s="105">
        <f>'Valores e modelos Veículos'!F26</f>
        <v>204</v>
      </c>
      <c r="D10" s="105">
        <f>'Valores e modelos Veículos'!F51</f>
        <v>302.005</v>
      </c>
      <c r="E10" s="105">
        <f>'Valores e modelos Veículos'!F76</f>
        <v>470</v>
      </c>
      <c r="F10" s="105">
        <f>'Valores e modelos Veículos'!F97</f>
        <v>166.8</v>
      </c>
    </row>
    <row r="11" spans="1:6" ht="14.65" customHeight="1">
      <c r="A11" s="88" t="s">
        <v>412</v>
      </c>
      <c r="B11" s="89"/>
      <c r="C11" s="108">
        <f>'Valores e modelos Veículos'!F15*4/40</f>
        <v>27.576000000000001</v>
      </c>
      <c r="D11" s="108">
        <f>'Valores e modelos Veículos'!F40*4/40</f>
        <v>33.450000000000003</v>
      </c>
      <c r="E11" s="108">
        <f>'Valores e modelos Veículos'!F65*4/40</f>
        <v>61.147000000000006</v>
      </c>
      <c r="F11" s="108">
        <f>'Valores e modelos Veículos'!F89*4/40</f>
        <v>54.271000000000001</v>
      </c>
    </row>
    <row r="12" spans="1:6" ht="14.65" customHeight="1">
      <c r="A12" s="88" t="s">
        <v>413</v>
      </c>
      <c r="B12" s="91"/>
      <c r="C12" s="108">
        <f>'Combustíveis e Pedágios'!D9*1000/'Valores e modelos Veículos'!I13</f>
        <v>449.8277841561424</v>
      </c>
      <c r="D12" s="108">
        <f>'Combustíveis e Pedágios'!D9*1000/'Valores e modelos Veículos'!I38</f>
        <v>483.7037037037037</v>
      </c>
      <c r="E12" s="108">
        <f>'Combustíveis e Pedágios'!C9*1000/'Valores e modelos Veículos'!I63</f>
        <v>618.32797427652736</v>
      </c>
      <c r="F12" s="108">
        <f>'Combustíveis e Pedágios'!C9*1000/'Valores e modelos Veículos'!I87</f>
        <v>651.86440677966095</v>
      </c>
    </row>
    <row r="13" spans="1:6" ht="14.65" customHeight="1">
      <c r="A13" s="92" t="s">
        <v>414</v>
      </c>
      <c r="B13" s="93"/>
      <c r="C13" s="94"/>
      <c r="D13" s="94"/>
      <c r="E13" s="94"/>
      <c r="F13" s="94"/>
    </row>
    <row r="14" spans="1:6" ht="15.75" customHeight="1">
      <c r="A14" s="128" t="s">
        <v>389</v>
      </c>
      <c r="B14" s="96"/>
      <c r="C14" s="97">
        <f>SUM(C10:C13)</f>
        <v>681.40378415614236</v>
      </c>
      <c r="D14" s="97">
        <f>SUM(D10:D13)</f>
        <v>819.15870370370362</v>
      </c>
      <c r="E14" s="97">
        <f>SUM(E10:E13)</f>
        <v>1149.4749742765275</v>
      </c>
      <c r="F14" s="97">
        <f>SUM(F10:F13)</f>
        <v>872.93540677966098</v>
      </c>
    </row>
    <row r="15" spans="1:6" ht="15.75" customHeight="1">
      <c r="A15" s="98"/>
      <c r="B15" s="99"/>
      <c r="C15" s="100"/>
      <c r="D15" s="100"/>
      <c r="E15" s="100"/>
      <c r="F15" s="100"/>
    </row>
    <row r="16" spans="1:6" ht="15.75" customHeight="1">
      <c r="A16" s="527" t="s">
        <v>390</v>
      </c>
      <c r="B16" s="527"/>
      <c r="C16" s="527"/>
      <c r="D16" s="527"/>
      <c r="E16" s="527"/>
      <c r="F16" s="527"/>
    </row>
    <row r="17" spans="1:6" ht="14.65" customHeight="1">
      <c r="A17" s="101" t="s">
        <v>391</v>
      </c>
      <c r="B17" s="102" t="s">
        <v>154</v>
      </c>
      <c r="C17" s="84" t="s">
        <v>155</v>
      </c>
      <c r="D17" s="84" t="s">
        <v>155</v>
      </c>
      <c r="E17" s="84" t="s">
        <v>155</v>
      </c>
      <c r="F17" s="84" t="s">
        <v>155</v>
      </c>
    </row>
    <row r="18" spans="1:6" ht="14.65" customHeight="1">
      <c r="A18" s="103" t="s">
        <v>392</v>
      </c>
      <c r="B18" s="104">
        <f>'SC '!B92</f>
        <v>0.06</v>
      </c>
      <c r="C18" s="105">
        <f>ROUND($B$18*C14,2)</f>
        <v>40.880000000000003</v>
      </c>
      <c r="D18" s="105">
        <f t="shared" ref="D18:F18" si="0">ROUND($B$18*D14,2)</f>
        <v>49.15</v>
      </c>
      <c r="E18" s="105">
        <f t="shared" si="0"/>
        <v>68.97</v>
      </c>
      <c r="F18" s="105">
        <f t="shared" si="0"/>
        <v>52.38</v>
      </c>
    </row>
    <row r="19" spans="1:6" ht="14.65" customHeight="1">
      <c r="A19" s="106" t="s">
        <v>393</v>
      </c>
      <c r="B19" s="107">
        <f>'SC '!B93</f>
        <v>6.7900000000000002E-2</v>
      </c>
      <c r="C19" s="108">
        <f>ROUND($B$19*(C14+C18),2)</f>
        <v>49.04</v>
      </c>
      <c r="D19" s="108">
        <f t="shared" ref="D19:F19" si="1">ROUND($B$19*(D14+D18),2)</f>
        <v>58.96</v>
      </c>
      <c r="E19" s="108">
        <f t="shared" si="1"/>
        <v>82.73</v>
      </c>
      <c r="F19" s="108">
        <f t="shared" si="1"/>
        <v>62.83</v>
      </c>
    </row>
    <row r="20" spans="1:6" ht="14.65" customHeight="1">
      <c r="A20" s="109" t="s">
        <v>394</v>
      </c>
      <c r="B20" s="110">
        <f>B21+B22</f>
        <v>5.6499999999999995E-2</v>
      </c>
      <c r="C20" s="111">
        <f>((C14+C$18+C$19)/(1-($B20)))*$B20</f>
        <v>46.189500588046677</v>
      </c>
      <c r="D20" s="111">
        <f t="shared" ref="D20:F20" si="2">((D14+D$18+D$19)/(1-($B20)))*$B20</f>
        <v>55.528014583210648</v>
      </c>
      <c r="E20" s="111">
        <f t="shared" si="2"/>
        <v>77.918798141625658</v>
      </c>
      <c r="F20" s="111">
        <f t="shared" si="2"/>
        <v>59.173519324908149</v>
      </c>
    </row>
    <row r="21" spans="1:6" ht="14.65" customHeight="1">
      <c r="A21" s="106" t="s">
        <v>395</v>
      </c>
      <c r="B21" s="107">
        <v>3.6499999999999998E-2</v>
      </c>
      <c r="C21" s="108">
        <f>ROUND(((C14+C$18+C$19)/(1-$B20))*$B21,2)</f>
        <v>29.84</v>
      </c>
      <c r="D21" s="108">
        <f t="shared" ref="D21:F21" si="3">ROUND(((D14+D$18+D$19)/(1-$B20))*$B21,2)</f>
        <v>35.869999999999997</v>
      </c>
      <c r="E21" s="108">
        <f t="shared" si="3"/>
        <v>50.34</v>
      </c>
      <c r="F21" s="108">
        <f t="shared" si="3"/>
        <v>38.229999999999997</v>
      </c>
    </row>
    <row r="22" spans="1:6" ht="14.65" customHeight="1">
      <c r="A22" s="106" t="s">
        <v>396</v>
      </c>
      <c r="B22" s="112">
        <v>0.02</v>
      </c>
      <c r="C22" s="108">
        <f>ROUND(((C14+C$18+C$19)/(1-$B20))*$B22,2)</f>
        <v>16.350000000000001</v>
      </c>
      <c r="D22" s="108">
        <f t="shared" ref="D22:F22" si="4">ROUND(((D14+D$18+D$19)/(1-$B20))*$B22,2)</f>
        <v>19.66</v>
      </c>
      <c r="E22" s="108">
        <f t="shared" si="4"/>
        <v>27.58</v>
      </c>
      <c r="F22" s="108">
        <f t="shared" si="4"/>
        <v>20.95</v>
      </c>
    </row>
    <row r="23" spans="1:6" ht="14.65" customHeight="1">
      <c r="A23" s="109" t="s">
        <v>397</v>
      </c>
      <c r="B23" s="110">
        <f>B24+B25</f>
        <v>6.6500000000000004E-2</v>
      </c>
      <c r="C23" s="111">
        <f>((C14+C$18+C$19)/(1-($B23)))*$B23</f>
        <v>54.947007655472376</v>
      </c>
      <c r="D23" s="111">
        <f t="shared" ref="D23:F23" si="5">((D14+D$18+D$19)/(1-($B23)))*$B23</f>
        <v>66.056099406851942</v>
      </c>
      <c r="E23" s="111">
        <f t="shared" si="5"/>
        <v>92.692164744926714</v>
      </c>
      <c r="F23" s="111">
        <f t="shared" si="5"/>
        <v>70.392790091962993</v>
      </c>
    </row>
    <row r="24" spans="1:6" ht="14.65" customHeight="1">
      <c r="A24" s="106" t="s">
        <v>395</v>
      </c>
      <c r="B24" s="107">
        <f>B$21</f>
        <v>3.6499999999999998E-2</v>
      </c>
      <c r="C24" s="108">
        <f>ROUND(((C14+C$18+C$19)/(1-$B23))*$B24,2)</f>
        <v>30.16</v>
      </c>
      <c r="D24" s="108">
        <f t="shared" ref="D24:F24" si="6">ROUND(((D14+D$18+D$19)/(1-$B23))*$B24,2)</f>
        <v>36.26</v>
      </c>
      <c r="E24" s="108">
        <f t="shared" si="6"/>
        <v>50.88</v>
      </c>
      <c r="F24" s="108">
        <f t="shared" si="6"/>
        <v>38.64</v>
      </c>
    </row>
    <row r="25" spans="1:6" ht="14.65" customHeight="1">
      <c r="A25" s="106" t="s">
        <v>396</v>
      </c>
      <c r="B25" s="112">
        <v>0.03</v>
      </c>
      <c r="C25" s="108">
        <f>ROUND(((C14+C$18+C$19)/(1-$B23))*$B25,2)</f>
        <v>24.79</v>
      </c>
      <c r="D25" s="108">
        <f t="shared" ref="D25:F25" si="7">ROUND(((D14+D$18+D$19)/(1-$B23))*$B25,2)</f>
        <v>29.8</v>
      </c>
      <c r="E25" s="108">
        <f t="shared" si="7"/>
        <v>41.82</v>
      </c>
      <c r="F25" s="108">
        <f t="shared" si="7"/>
        <v>31.76</v>
      </c>
    </row>
    <row r="26" spans="1:6" ht="14.65" customHeight="1">
      <c r="A26" s="109" t="s">
        <v>398</v>
      </c>
      <c r="B26" s="110">
        <f>B27+B28</f>
        <v>8.6499999999999994E-2</v>
      </c>
      <c r="C26" s="111">
        <f>((C14+C$18+C$19)/(1-($B26)))*$B26</f>
        <v>73.037227509038104</v>
      </c>
      <c r="D26" s="111">
        <f>((D14+D$18+D$19)/(1-($B26)))*$B26</f>
        <v>87.803768878347412</v>
      </c>
      <c r="E26" s="111">
        <f>((E14+E$18+E$19)/(1-($B26)))*$B26</f>
        <v>123.20923401742708</v>
      </c>
      <c r="F26" s="111">
        <f>((F14+F$18+F$19)/(1-($B26)))*$B26</f>
        <v>93.568229541806986</v>
      </c>
    </row>
    <row r="27" spans="1:6" ht="14.65" customHeight="1">
      <c r="A27" s="106" t="s">
        <v>395</v>
      </c>
      <c r="B27" s="107">
        <f>B$21</f>
        <v>3.6499999999999998E-2</v>
      </c>
      <c r="C27" s="108">
        <f>ROUND(((C14+C$18+C$19)/(1-$B26))*$B27,2)</f>
        <v>30.82</v>
      </c>
      <c r="D27" s="108">
        <f>ROUND(((D14+D$18+D$19)/(1-$B26))*$B27,2)</f>
        <v>37.049999999999997</v>
      </c>
      <c r="E27" s="108">
        <f>ROUND(((E14+E$18+E$19)/(1-$B26))*$B27,2)</f>
        <v>51.99</v>
      </c>
      <c r="F27" s="108">
        <f>ROUND(((F14+F$18+F$19)/(1-$B26))*$B27,2)</f>
        <v>39.479999999999997</v>
      </c>
    </row>
    <row r="28" spans="1:6" ht="14.65" customHeight="1">
      <c r="A28" s="113" t="s">
        <v>396</v>
      </c>
      <c r="B28" s="114">
        <v>0.05</v>
      </c>
      <c r="C28" s="108">
        <f>ROUND(((C14+C$18+C$19)/(1-$B26))*$B28,2)</f>
        <v>42.22</v>
      </c>
      <c r="D28" s="108">
        <f>ROUND(((D14+D$18+D$19)/(1-$B26))*$B28,2)</f>
        <v>50.75</v>
      </c>
      <c r="E28" s="108">
        <f>ROUND(((E14+E$18+E$19)/(1-$B26))*$B28,2)</f>
        <v>71.22</v>
      </c>
      <c r="F28" s="108">
        <f>ROUND(((F14+F$18+F$19)/(1-$B26))*$B28,2)</f>
        <v>54.09</v>
      </c>
    </row>
    <row r="29" spans="1:6" ht="14.65" customHeight="1">
      <c r="A29" s="533" t="s">
        <v>399</v>
      </c>
      <c r="B29" s="129">
        <f>B22</f>
        <v>0.02</v>
      </c>
      <c r="C29" s="116">
        <f t="shared" ref="C29:F29" si="8">C$18+C$19+C20</f>
        <v>136.10950058804667</v>
      </c>
      <c r="D29" s="116">
        <f t="shared" si="8"/>
        <v>163.63801458321063</v>
      </c>
      <c r="E29" s="116">
        <f t="shared" si="8"/>
        <v>229.61879814162563</v>
      </c>
      <c r="F29" s="116">
        <f t="shared" si="8"/>
        <v>174.38351932490815</v>
      </c>
    </row>
    <row r="30" spans="1:6" ht="14.65" customHeight="1">
      <c r="A30" s="533"/>
      <c r="B30" s="129">
        <f>B25</f>
        <v>0.03</v>
      </c>
      <c r="C30" s="116">
        <f t="shared" ref="C30:F30" si="9">C$18+C$19+C23</f>
        <v>144.86700765547238</v>
      </c>
      <c r="D30" s="116">
        <f t="shared" si="9"/>
        <v>174.16609940685194</v>
      </c>
      <c r="E30" s="116">
        <f t="shared" si="9"/>
        <v>244.3921647449267</v>
      </c>
      <c r="F30" s="116">
        <f t="shared" si="9"/>
        <v>185.60279009196302</v>
      </c>
    </row>
    <row r="31" spans="1:6" ht="14.65" customHeight="1">
      <c r="A31" s="533"/>
      <c r="B31" s="117">
        <f>B28</f>
        <v>0.05</v>
      </c>
      <c r="C31" s="116">
        <f t="shared" ref="C31:F31" si="10">C$18+C$19+C26</f>
        <v>162.95722750903809</v>
      </c>
      <c r="D31" s="116">
        <f t="shared" si="10"/>
        <v>195.91376887834741</v>
      </c>
      <c r="E31" s="116">
        <f t="shared" si="10"/>
        <v>274.90923401742708</v>
      </c>
      <c r="F31" s="116">
        <f t="shared" si="10"/>
        <v>208.77822954180698</v>
      </c>
    </row>
    <row r="33" spans="1:6" ht="21.4" customHeight="1">
      <c r="A33" s="534" t="s">
        <v>415</v>
      </c>
      <c r="B33" s="534"/>
      <c r="C33" s="534"/>
      <c r="D33" s="534"/>
      <c r="E33" s="534"/>
      <c r="F33" s="534"/>
    </row>
    <row r="34" spans="1:6" ht="14.65" customHeight="1">
      <c r="A34" s="535" t="s">
        <v>416</v>
      </c>
      <c r="B34" s="535"/>
      <c r="C34" s="121" t="s">
        <v>155</v>
      </c>
      <c r="D34" s="121" t="s">
        <v>155</v>
      </c>
      <c r="E34" s="121" t="s">
        <v>155</v>
      </c>
      <c r="F34" s="121" t="s">
        <v>155</v>
      </c>
    </row>
    <row r="35" spans="1:6" ht="14.65" customHeight="1">
      <c r="A35" s="538" t="s">
        <v>417</v>
      </c>
      <c r="B35" s="538"/>
      <c r="C35" s="130">
        <f>C14</f>
        <v>681.40378415614236</v>
      </c>
      <c r="D35" s="130">
        <f t="shared" ref="D35:F35" si="11">D14</f>
        <v>819.15870370370362</v>
      </c>
      <c r="E35" s="130">
        <f t="shared" si="11"/>
        <v>1149.4749742765275</v>
      </c>
      <c r="F35" s="130">
        <f t="shared" si="11"/>
        <v>872.93540677966098</v>
      </c>
    </row>
    <row r="36" spans="1:6" ht="14.65" customHeight="1">
      <c r="A36" s="538" t="s">
        <v>418</v>
      </c>
      <c r="B36" s="538"/>
      <c r="C36" s="130">
        <f t="shared" ref="C36:F37" si="12">C29</f>
        <v>136.10950058804667</v>
      </c>
      <c r="D36" s="130">
        <f t="shared" si="12"/>
        <v>163.63801458321063</v>
      </c>
      <c r="E36" s="130">
        <f t="shared" si="12"/>
        <v>229.61879814162563</v>
      </c>
      <c r="F36" s="130">
        <f t="shared" si="12"/>
        <v>174.38351932490815</v>
      </c>
    </row>
    <row r="37" spans="1:6" ht="14.65" customHeight="1">
      <c r="A37" s="538" t="s">
        <v>419</v>
      </c>
      <c r="B37" s="538"/>
      <c r="C37" s="130">
        <f t="shared" si="12"/>
        <v>144.86700765547238</v>
      </c>
      <c r="D37" s="130">
        <f t="shared" si="12"/>
        <v>174.16609940685194</v>
      </c>
      <c r="E37" s="130">
        <f t="shared" si="12"/>
        <v>244.3921647449267</v>
      </c>
      <c r="F37" s="130">
        <f t="shared" si="12"/>
        <v>185.60279009196302</v>
      </c>
    </row>
    <row r="38" spans="1:6" ht="14.65" customHeight="1">
      <c r="A38" s="538" t="s">
        <v>420</v>
      </c>
      <c r="B38" s="538"/>
      <c r="C38" s="130">
        <f t="shared" ref="C38:F38" si="13">C31</f>
        <v>162.95722750903809</v>
      </c>
      <c r="D38" s="130">
        <f t="shared" si="13"/>
        <v>195.91376887834741</v>
      </c>
      <c r="E38" s="130">
        <f t="shared" si="13"/>
        <v>274.90923401742708</v>
      </c>
      <c r="F38" s="130">
        <f t="shared" si="13"/>
        <v>208.77822954180698</v>
      </c>
    </row>
    <row r="39" spans="1:6" ht="14.65" customHeight="1">
      <c r="A39" s="131"/>
      <c r="B39" s="132"/>
      <c r="C39" s="133"/>
      <c r="D39" s="133"/>
      <c r="E39" s="133"/>
      <c r="F39" s="133"/>
    </row>
    <row r="40" spans="1:6" ht="15.75" customHeight="1">
      <c r="A40" s="539" t="s">
        <v>421</v>
      </c>
      <c r="B40" s="134" t="s">
        <v>403</v>
      </c>
      <c r="C40" s="135">
        <f t="shared" ref="C40:F41" si="14">TRUNC((C$35+C36),2)</f>
        <v>817.51</v>
      </c>
      <c r="D40" s="135">
        <f t="shared" si="14"/>
        <v>982.79</v>
      </c>
      <c r="E40" s="135">
        <f t="shared" si="14"/>
        <v>1379.09</v>
      </c>
      <c r="F40" s="135">
        <f t="shared" si="14"/>
        <v>1047.31</v>
      </c>
    </row>
    <row r="41" spans="1:6" ht="15.75" customHeight="1">
      <c r="A41" s="539"/>
      <c r="B41" s="134" t="s">
        <v>404</v>
      </c>
      <c r="C41" s="135">
        <f t="shared" si="14"/>
        <v>826.27</v>
      </c>
      <c r="D41" s="135">
        <f t="shared" si="14"/>
        <v>993.32</v>
      </c>
      <c r="E41" s="135">
        <f t="shared" si="14"/>
        <v>1393.86</v>
      </c>
      <c r="F41" s="135">
        <f t="shared" si="14"/>
        <v>1058.53</v>
      </c>
    </row>
    <row r="42" spans="1:6" ht="15.75" customHeight="1">
      <c r="A42" s="539"/>
      <c r="B42" s="134" t="s">
        <v>405</v>
      </c>
      <c r="C42" s="135">
        <f>TRUNC((C$35+C38),2)</f>
        <v>844.36</v>
      </c>
      <c r="D42" s="135">
        <f>TRUNC((D$35+D38),2)</f>
        <v>1015.07</v>
      </c>
      <c r="E42" s="135">
        <f>TRUNC((E$35+E38),2)</f>
        <v>1424.38</v>
      </c>
      <c r="F42" s="135">
        <f t="shared" ref="F42" si="15">TRUNC((F$35+F38),2)</f>
        <v>1081.71</v>
      </c>
    </row>
    <row r="43" spans="1:6" ht="15.75" customHeight="1">
      <c r="A43" s="124"/>
      <c r="B43" s="125"/>
      <c r="C43" s="126"/>
      <c r="D43" s="126"/>
      <c r="E43" s="126"/>
      <c r="F43" s="126"/>
    </row>
    <row r="44" spans="1:6" ht="15.75" customHeight="1">
      <c r="A44" s="539" t="s">
        <v>422</v>
      </c>
      <c r="B44" s="134" t="str">
        <f>B40</f>
        <v>ISS 2,00%</v>
      </c>
      <c r="C44" s="136">
        <f>TRUNC((C40/1000),4)</f>
        <v>0.8175</v>
      </c>
      <c r="D44" s="136">
        <f>TRUNC((D40/1000),4)</f>
        <v>0.98270000000000002</v>
      </c>
      <c r="E44" s="136">
        <f>TRUNC((E40/1000),4)</f>
        <v>1.379</v>
      </c>
      <c r="F44" s="136">
        <f>TRUNC((F40/1000),4)</f>
        <v>1.0472999999999999</v>
      </c>
    </row>
    <row r="45" spans="1:6" ht="15.75" customHeight="1">
      <c r="A45" s="539"/>
      <c r="B45" s="134" t="str">
        <f t="shared" ref="B45:B46" si="16">B41</f>
        <v>ISS 3,00%</v>
      </c>
      <c r="C45" s="136">
        <f t="shared" ref="C45:D46" si="17">TRUNC((C41/1000),4)</f>
        <v>0.82620000000000005</v>
      </c>
      <c r="D45" s="136">
        <f t="shared" si="17"/>
        <v>0.99329999999999996</v>
      </c>
      <c r="E45" s="136">
        <f>TRUNC((E41/1000),4)</f>
        <v>1.3937999999999999</v>
      </c>
      <c r="F45" s="136">
        <f t="shared" ref="F45:F46" si="18">TRUNC((F41/1000),4)</f>
        <v>1.0585</v>
      </c>
    </row>
    <row r="46" spans="1:6" ht="15.75" customHeight="1">
      <c r="A46" s="539"/>
      <c r="B46" s="134" t="str">
        <f t="shared" si="16"/>
        <v>ISS 5,00%</v>
      </c>
      <c r="C46" s="136">
        <f t="shared" si="17"/>
        <v>0.84430000000000005</v>
      </c>
      <c r="D46" s="136">
        <f t="shared" si="17"/>
        <v>1.0149999999999999</v>
      </c>
      <c r="E46" s="136">
        <f>TRUNC((E42/1000),4)</f>
        <v>1.4242999999999999</v>
      </c>
      <c r="F46" s="136">
        <f t="shared" si="18"/>
        <v>1.0817000000000001</v>
      </c>
    </row>
    <row r="47" spans="1:6" ht="14.65" customHeight="1"/>
    <row r="48" spans="1:6" ht="62.25" customHeight="1">
      <c r="A48" s="540" t="s">
        <v>423</v>
      </c>
      <c r="B48" s="540"/>
      <c r="C48" s="540"/>
      <c r="D48" s="540"/>
      <c r="E48" s="540"/>
      <c r="F48" s="540"/>
    </row>
  </sheetData>
  <mergeCells count="18">
    <mergeCell ref="A44:A46"/>
    <mergeCell ref="A48:F48"/>
    <mergeCell ref="A36:B36"/>
    <mergeCell ref="A37:B37"/>
    <mergeCell ref="A38:B38"/>
    <mergeCell ref="A29:A31"/>
    <mergeCell ref="A33:F33"/>
    <mergeCell ref="A34:B34"/>
    <mergeCell ref="A35:B35"/>
    <mergeCell ref="A40:A42"/>
    <mergeCell ref="A7:B8"/>
    <mergeCell ref="C7:D7"/>
    <mergeCell ref="A16:F16"/>
    <mergeCell ref="A1:F1"/>
    <mergeCell ref="A2:F2"/>
    <mergeCell ref="A3:F3"/>
    <mergeCell ref="A4:F4"/>
    <mergeCell ref="A6:F6"/>
  </mergeCells>
  <pageMargins left="0.78749999999999998" right="0.78749999999999998" top="1.1513888888888899" bottom="1.1513888888888899" header="0.78749999999999998" footer="0.78749999999999998"/>
  <pageSetup paperSize="9" firstPageNumber="0" orientation="portrait" horizontalDpi="300" verticalDpi="300"/>
  <headerFooter>
    <oddHeader>&amp;C&amp;"Times New Roman1,Regular"&amp;12&amp;A</oddHeader>
    <oddFooter>&amp;C&amp;"Times New Roman1,Regular"&amp;12Página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topLeftCell="A13" zoomScaleNormal="100" workbookViewId="0">
      <selection activeCell="G30" sqref="G30"/>
    </sheetView>
  </sheetViews>
  <sheetFormatPr defaultColWidth="8.5" defaultRowHeight="14.25"/>
  <cols>
    <col min="1" max="1" width="10.75" style="137" customWidth="1"/>
    <col min="2" max="2" width="40.125" customWidth="1"/>
    <col min="3" max="3" width="11.25" customWidth="1"/>
    <col min="4" max="4" width="12.125" customWidth="1"/>
    <col min="5" max="57" width="10.75" customWidth="1"/>
  </cols>
  <sheetData>
    <row r="1" spans="1:4" ht="24.6" customHeight="1">
      <c r="A1" s="452" t="s">
        <v>1</v>
      </c>
      <c r="B1" s="452"/>
      <c r="C1" s="452"/>
      <c r="D1" s="452"/>
    </row>
    <row r="2" spans="1:4" ht="14.65" customHeight="1">
      <c r="A2" s="480" t="s">
        <v>89</v>
      </c>
      <c r="B2" s="480"/>
      <c r="C2" s="480"/>
      <c r="D2" s="480"/>
    </row>
    <row r="3" spans="1:4" ht="14.65" customHeight="1">
      <c r="A3" s="526" t="s">
        <v>372</v>
      </c>
      <c r="B3" s="526"/>
      <c r="C3" s="526"/>
      <c r="D3" s="526"/>
    </row>
    <row r="4" spans="1:4" ht="24.6" customHeight="1">
      <c r="A4" s="455" t="s">
        <v>424</v>
      </c>
      <c r="B4" s="455"/>
      <c r="C4" s="455"/>
      <c r="D4" s="455"/>
    </row>
    <row r="5" spans="1:4" ht="14.65" customHeight="1">
      <c r="A5" s="1"/>
      <c r="B5" s="1"/>
      <c r="C5" s="1"/>
      <c r="D5" s="1"/>
    </row>
    <row r="6" spans="1:4" ht="20.45" customHeight="1">
      <c r="A6" s="541" t="s">
        <v>425</v>
      </c>
      <c r="B6" s="542"/>
      <c r="C6" s="542"/>
      <c r="D6" s="542"/>
    </row>
    <row r="7" spans="1:4" ht="34.5" customHeight="1">
      <c r="A7" s="7" t="s">
        <v>16</v>
      </c>
      <c r="B7" s="7" t="s">
        <v>17</v>
      </c>
      <c r="C7" s="545" t="s">
        <v>11</v>
      </c>
      <c r="D7" s="545"/>
    </row>
    <row r="8" spans="1:4" ht="15.95" customHeight="1">
      <c r="A8" s="67">
        <v>1</v>
      </c>
      <c r="B8" s="46" t="s">
        <v>109</v>
      </c>
      <c r="C8" s="138">
        <f>D16</f>
        <v>184</v>
      </c>
      <c r="D8" s="316"/>
    </row>
    <row r="9" spans="1:4" ht="15.95" customHeight="1">
      <c r="A9" s="67">
        <v>2</v>
      </c>
      <c r="B9" s="46" t="s">
        <v>111</v>
      </c>
      <c r="C9" s="138">
        <f>D16</f>
        <v>184</v>
      </c>
      <c r="D9" s="316"/>
    </row>
    <row r="10" spans="1:4" ht="15.95" customHeight="1">
      <c r="A10" s="67">
        <v>3</v>
      </c>
      <c r="B10" s="46" t="s">
        <v>113</v>
      </c>
      <c r="C10" s="138">
        <f>D16</f>
        <v>184</v>
      </c>
      <c r="D10" s="316"/>
    </row>
    <row r="11" spans="1:4" ht="15.95" customHeight="1">
      <c r="A11" s="67">
        <v>4</v>
      </c>
      <c r="B11" s="46" t="s">
        <v>115</v>
      </c>
      <c r="C11" s="138">
        <f>D16</f>
        <v>184</v>
      </c>
      <c r="D11" s="316"/>
    </row>
    <row r="12" spans="1:4" ht="15.95" customHeight="1">
      <c r="A12" s="67">
        <v>5</v>
      </c>
      <c r="B12" s="46" t="s">
        <v>117</v>
      </c>
      <c r="C12" s="138">
        <f>D16</f>
        <v>184</v>
      </c>
      <c r="D12" s="316"/>
    </row>
    <row r="13" spans="1:4" ht="15.95" customHeight="1">
      <c r="A13" s="67">
        <v>6</v>
      </c>
      <c r="B13" s="46" t="s">
        <v>119</v>
      </c>
      <c r="C13" s="138">
        <f>D16</f>
        <v>184</v>
      </c>
      <c r="D13" s="316"/>
    </row>
    <row r="14" spans="1:4" ht="14.65" customHeight="1">
      <c r="A14" s="34"/>
      <c r="B14" s="35" t="s">
        <v>0</v>
      </c>
      <c r="C14" s="139">
        <f>TRUNC(AVERAGE(C8:C13),2)</f>
        <v>184</v>
      </c>
      <c r="D14" s="139"/>
    </row>
    <row r="15" spans="1:4" s="319" customFormat="1" ht="14.65" customHeight="1">
      <c r="A15" s="317"/>
      <c r="B15" s="318"/>
      <c r="C15" s="315"/>
      <c r="D15" s="315"/>
    </row>
    <row r="16" spans="1:4" ht="14.65" customHeight="1">
      <c r="A16" s="543" t="s">
        <v>426</v>
      </c>
      <c r="B16" s="543"/>
      <c r="C16" s="544"/>
      <c r="D16" s="116">
        <v>184</v>
      </c>
    </row>
    <row r="17" spans="1:4" ht="14.65" customHeight="1">
      <c r="B17" s="140"/>
      <c r="C17" s="141"/>
      <c r="D17" s="142"/>
    </row>
    <row r="18" spans="1:4" ht="14.65" customHeight="1">
      <c r="A18" s="546" t="s">
        <v>390</v>
      </c>
      <c r="B18" s="546"/>
      <c r="C18" s="546"/>
      <c r="D18" s="546"/>
    </row>
    <row r="19" spans="1:4" ht="14.65" customHeight="1">
      <c r="A19" s="143" t="s">
        <v>391</v>
      </c>
      <c r="B19" s="144"/>
      <c r="C19" s="102" t="s">
        <v>154</v>
      </c>
      <c r="D19" s="84" t="s">
        <v>155</v>
      </c>
    </row>
    <row r="20" spans="1:4" ht="14.65" customHeight="1">
      <c r="A20" s="145" t="s">
        <v>392</v>
      </c>
      <c r="B20" s="146"/>
      <c r="C20" s="104">
        <f>'SC '!B92</f>
        <v>0.06</v>
      </c>
      <c r="D20" s="105">
        <f t="shared" ref="D20" si="0">ROUND($C$20*D16,2)</f>
        <v>11.04</v>
      </c>
    </row>
    <row r="21" spans="1:4" ht="14.65" customHeight="1">
      <c r="A21" s="147" t="s">
        <v>393</v>
      </c>
      <c r="B21" s="148"/>
      <c r="C21" s="107">
        <f>'SC '!B93</f>
        <v>6.7900000000000002E-2</v>
      </c>
      <c r="D21" s="108">
        <f t="shared" ref="D21" si="1">ROUND($C$21*(D16+D20),2)</f>
        <v>13.24</v>
      </c>
    </row>
    <row r="22" spans="1:4" ht="14.65" customHeight="1">
      <c r="A22" s="149" t="s">
        <v>394</v>
      </c>
      <c r="B22" s="150"/>
      <c r="C22" s="110">
        <f>C23+C24</f>
        <v>5.6499999999999995E-2</v>
      </c>
      <c r="D22" s="111">
        <f t="shared" ref="D22" si="2">((D$16+D$20+D$21)/(1-($C22)))*$C22</f>
        <v>12.472517223105458</v>
      </c>
    </row>
    <row r="23" spans="1:4" ht="14.65" customHeight="1">
      <c r="A23" s="147" t="s">
        <v>395</v>
      </c>
      <c r="B23" s="148"/>
      <c r="C23" s="107">
        <v>3.6499999999999998E-2</v>
      </c>
      <c r="D23" s="108">
        <f t="shared" ref="D23" si="3">ROUND(((D$16+D$20+D$21)/(1-$C22))*$C23,2)</f>
        <v>8.06</v>
      </c>
    </row>
    <row r="24" spans="1:4" ht="14.65" customHeight="1">
      <c r="A24" s="147" t="s">
        <v>396</v>
      </c>
      <c r="B24" s="148"/>
      <c r="C24" s="112">
        <v>0.02</v>
      </c>
      <c r="D24" s="108">
        <f t="shared" ref="D24" si="4">ROUND(((D$16+D$20+D$21)/(1-$C$22))*$C24,2)</f>
        <v>4.42</v>
      </c>
    </row>
    <row r="25" spans="1:4" ht="14.65" customHeight="1">
      <c r="A25" s="149" t="s">
        <v>397</v>
      </c>
      <c r="B25" s="150"/>
      <c r="C25" s="110">
        <f>C26+C27</f>
        <v>6.6500000000000004E-2</v>
      </c>
      <c r="D25" s="111">
        <f t="shared" ref="D25" si="5">((D$16+D$20+D$21)/(1-($C25)))*$C25</f>
        <v>14.837300482056776</v>
      </c>
    </row>
    <row r="26" spans="1:4" ht="14.65" customHeight="1">
      <c r="A26" s="147" t="s">
        <v>395</v>
      </c>
      <c r="B26" s="148"/>
      <c r="C26" s="107">
        <v>3.6499999999999998E-2</v>
      </c>
      <c r="D26" s="108">
        <f t="shared" ref="D26" si="6">ROUND(((D$16+D$20+D$21)/(1-$C25))*$C26,2)</f>
        <v>8.14</v>
      </c>
    </row>
    <row r="27" spans="1:4" ht="14.65" customHeight="1">
      <c r="A27" s="147" t="s">
        <v>396</v>
      </c>
      <c r="B27" s="148"/>
      <c r="C27" s="112">
        <v>0.03</v>
      </c>
      <c r="D27" s="108">
        <f t="shared" ref="D27" si="7">ROUND(((D$16+D$20+D$21)/(1-$C$25))*$C27,2)</f>
        <v>6.69</v>
      </c>
    </row>
    <row r="28" spans="1:4" ht="14.65" customHeight="1">
      <c r="A28" s="149" t="s">
        <v>398</v>
      </c>
      <c r="B28" s="150"/>
      <c r="C28" s="110">
        <f>C29+C30</f>
        <v>8.6499999999999994E-2</v>
      </c>
      <c r="D28" s="111">
        <f t="shared" ref="D28" si="8">((D$16+D$20+D$21)/(1-($C28)))*$C28</f>
        <v>19.722189381499724</v>
      </c>
    </row>
    <row r="29" spans="1:4" ht="14.65" customHeight="1">
      <c r="A29" s="147" t="s">
        <v>395</v>
      </c>
      <c r="B29" s="148"/>
      <c r="C29" s="107">
        <v>3.6499999999999998E-2</v>
      </c>
      <c r="D29" s="108">
        <f t="shared" ref="D29" si="9">ROUND(((D$16+D$20+D$21)/(1-$C28))*$C29,2)</f>
        <v>8.32</v>
      </c>
    </row>
    <row r="30" spans="1:4" ht="14.65" customHeight="1">
      <c r="A30" s="151" t="s">
        <v>396</v>
      </c>
      <c r="B30" s="152"/>
      <c r="C30" s="114">
        <v>0.05</v>
      </c>
      <c r="D30" s="108">
        <f t="shared" ref="D30" si="10">ROUND(((D$16+D$20+D$21)/(1-$C28))*$C30,2)</f>
        <v>11.4</v>
      </c>
    </row>
    <row r="31" spans="1:4" ht="14.65" customHeight="1">
      <c r="A31" s="547" t="s">
        <v>399</v>
      </c>
      <c r="B31" s="547"/>
      <c r="C31" s="115">
        <f>C24</f>
        <v>0.02</v>
      </c>
      <c r="D31" s="116">
        <f t="shared" ref="D31" si="11">D$20+D$21+D22</f>
        <v>36.752517223105457</v>
      </c>
    </row>
    <row r="32" spans="1:4" ht="14.65" customHeight="1">
      <c r="A32" s="547"/>
      <c r="B32" s="547"/>
      <c r="C32" s="115">
        <f>C27</f>
        <v>0.03</v>
      </c>
      <c r="D32" s="116">
        <f t="shared" ref="D32" si="12">D$20+D$21+D25</f>
        <v>39.117300482056777</v>
      </c>
    </row>
    <row r="33" spans="1:4" ht="14.65" customHeight="1">
      <c r="A33" s="547"/>
      <c r="B33" s="547"/>
      <c r="C33" s="393">
        <f>C30</f>
        <v>0.05</v>
      </c>
      <c r="D33" s="116">
        <f>D$20+D$21+D28</f>
        <v>44.002189381499726</v>
      </c>
    </row>
    <row r="35" spans="1:4" ht="14.65" customHeight="1">
      <c r="A35" s="548" t="s">
        <v>427</v>
      </c>
      <c r="B35" s="548"/>
      <c r="C35" s="548"/>
      <c r="D35" s="548"/>
    </row>
    <row r="36" spans="1:4" ht="14.65" customHeight="1">
      <c r="A36" s="551" t="s">
        <v>428</v>
      </c>
      <c r="B36" s="551"/>
      <c r="C36" s="551"/>
      <c r="D36" s="551"/>
    </row>
    <row r="37" spans="1:4" ht="15.95" customHeight="1">
      <c r="A37" s="153"/>
      <c r="B37" s="153"/>
      <c r="C37" s="153"/>
      <c r="D37" s="82" t="s">
        <v>429</v>
      </c>
    </row>
    <row r="38" spans="1:4" ht="14.65" customHeight="1">
      <c r="A38" s="154"/>
      <c r="B38" s="132"/>
      <c r="C38" s="132"/>
      <c r="D38" s="82" t="s">
        <v>430</v>
      </c>
    </row>
    <row r="39" spans="1:4" ht="14.65" customHeight="1">
      <c r="A39" s="536" t="s">
        <v>431</v>
      </c>
      <c r="B39" s="536"/>
      <c r="C39" s="394">
        <f>C31</f>
        <v>0.02</v>
      </c>
      <c r="D39" s="123">
        <f>$D$16+D31</f>
        <v>220.75251722310546</v>
      </c>
    </row>
    <row r="40" spans="1:4" ht="14.65" customHeight="1">
      <c r="A40" s="536"/>
      <c r="B40" s="536"/>
      <c r="C40" s="394">
        <f t="shared" ref="C40:C41" si="13">C32</f>
        <v>0.03</v>
      </c>
      <c r="D40" s="123">
        <f t="shared" ref="D40:D41" si="14">$D$16+D32</f>
        <v>223.11730048205678</v>
      </c>
    </row>
    <row r="41" spans="1:4" ht="14.65" customHeight="1">
      <c r="A41" s="536"/>
      <c r="B41" s="536"/>
      <c r="C41" s="394">
        <f t="shared" si="13"/>
        <v>0.05</v>
      </c>
      <c r="D41" s="123">
        <f t="shared" si="14"/>
        <v>228.00218938149973</v>
      </c>
    </row>
    <row r="43" spans="1:4" ht="82.5" customHeight="1">
      <c r="A43" s="552" t="s">
        <v>432</v>
      </c>
      <c r="B43" s="552"/>
      <c r="C43" s="552"/>
      <c r="D43" s="552"/>
    </row>
    <row r="44" spans="1:4" ht="57.75" customHeight="1">
      <c r="A44" s="549" t="s">
        <v>433</v>
      </c>
      <c r="B44" s="549"/>
      <c r="C44" s="549"/>
      <c r="D44" s="549"/>
    </row>
    <row r="45" spans="1:4" ht="14.65" customHeight="1">
      <c r="A45" s="4"/>
      <c r="B45" s="2"/>
      <c r="C45" s="2"/>
      <c r="D45" s="2"/>
    </row>
    <row r="46" spans="1:4" ht="82.5" customHeight="1">
      <c r="A46" s="550" t="s">
        <v>434</v>
      </c>
      <c r="B46" s="550"/>
      <c r="C46" s="550"/>
      <c r="D46" s="550"/>
    </row>
  </sheetData>
  <mergeCells count="15">
    <mergeCell ref="A44:D44"/>
    <mergeCell ref="A46:D46"/>
    <mergeCell ref="A36:D36"/>
    <mergeCell ref="A39:B41"/>
    <mergeCell ref="A43:D43"/>
    <mergeCell ref="A16:C16"/>
    <mergeCell ref="C7:D7"/>
    <mergeCell ref="A18:D18"/>
    <mergeCell ref="A31:B33"/>
    <mergeCell ref="A35:D35"/>
    <mergeCell ref="A1:D1"/>
    <mergeCell ref="A2:D2"/>
    <mergeCell ref="A3:D3"/>
    <mergeCell ref="A4:D4"/>
    <mergeCell ref="A6:D6"/>
  </mergeCells>
  <pageMargins left="0.78749999999999998" right="0.78749999999999998" top="1.1229166666666699" bottom="1.1229166666666699" header="0.78749999999999998" footer="0.78749999999999998"/>
  <pageSetup paperSize="9" firstPageNumber="0" orientation="portrait" horizontalDpi="300" verticalDpi="300"/>
  <headerFooter>
    <oddHeader>&amp;C&amp;"Arial1,Regular"&amp;10&amp;A</oddHeader>
    <oddFooter>&amp;C&amp;"Arial1,Regular"&amp;10Página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E33"/>
  <sheetViews>
    <sheetView topLeftCell="A14" zoomScaleNormal="100" workbookViewId="0">
      <selection activeCell="B36" sqref="B36"/>
    </sheetView>
  </sheetViews>
  <sheetFormatPr defaultColWidth="8.5" defaultRowHeight="14.25"/>
  <cols>
    <col min="1" max="1" width="15.25" customWidth="1"/>
    <col min="2" max="2" width="39.875" customWidth="1"/>
    <col min="3" max="4" width="11.875" customWidth="1"/>
    <col min="5" max="5" width="11.375" customWidth="1"/>
    <col min="6" max="44" width="8.125" customWidth="1"/>
  </cols>
  <sheetData>
    <row r="1" spans="1:5" ht="24.4" customHeight="1">
      <c r="A1" s="479" t="s">
        <v>1</v>
      </c>
      <c r="B1" s="479"/>
      <c r="C1" s="479"/>
      <c r="D1" s="479"/>
      <c r="E1" s="479"/>
    </row>
    <row r="2" spans="1:5" ht="12.75" customHeight="1">
      <c r="A2" s="480" t="s">
        <v>89</v>
      </c>
      <c r="B2" s="480"/>
      <c r="C2" s="480"/>
      <c r="D2" s="480"/>
      <c r="E2" s="480"/>
    </row>
    <row r="3" spans="1:5" ht="12.75" customHeight="1">
      <c r="A3" s="526" t="s">
        <v>3</v>
      </c>
      <c r="B3" s="526"/>
      <c r="C3" s="526"/>
      <c r="D3" s="526"/>
      <c r="E3" s="526"/>
    </row>
    <row r="4" spans="1:5" ht="27.75" customHeight="1">
      <c r="A4" s="455" t="s">
        <v>435</v>
      </c>
      <c r="B4" s="455"/>
      <c r="C4" s="455"/>
      <c r="D4" s="455"/>
      <c r="E4" s="455"/>
    </row>
    <row r="5" spans="1:5" ht="14.25" customHeight="1">
      <c r="A5" s="456"/>
      <c r="B5" s="456"/>
      <c r="C5" s="456"/>
      <c r="D5" s="456"/>
      <c r="E5" s="456"/>
    </row>
    <row r="6" spans="1:5" ht="27.75" customHeight="1">
      <c r="A6" s="169" t="s">
        <v>16</v>
      </c>
      <c r="B6" s="169" t="s">
        <v>17</v>
      </c>
      <c r="C6" s="169" t="s">
        <v>436</v>
      </c>
      <c r="D6" s="170" t="s">
        <v>437</v>
      </c>
      <c r="E6" s="170" t="s">
        <v>438</v>
      </c>
    </row>
    <row r="7" spans="1:5" ht="14.25" customHeight="1">
      <c r="A7" s="171"/>
      <c r="B7" s="35" t="s">
        <v>0</v>
      </c>
      <c r="C7" s="139"/>
      <c r="D7" s="171"/>
      <c r="E7" s="139">
        <f>TRUNC((E14/D14),2)</f>
        <v>6.2</v>
      </c>
    </row>
    <row r="8" spans="1:5" ht="14.25" customHeight="1">
      <c r="A8" s="17">
        <v>1</v>
      </c>
      <c r="B8" s="46" t="s">
        <v>109</v>
      </c>
      <c r="C8" s="172">
        <v>6.9</v>
      </c>
      <c r="D8" s="173">
        <f>'Informações e Quantidades'!E8</f>
        <v>1</v>
      </c>
      <c r="E8" s="174">
        <f>C8*D8</f>
        <v>6.9</v>
      </c>
    </row>
    <row r="9" spans="1:5" ht="14.25" customHeight="1">
      <c r="A9" s="17">
        <v>2</v>
      </c>
      <c r="B9" s="46" t="s">
        <v>111</v>
      </c>
      <c r="C9" s="172">
        <v>6.9</v>
      </c>
      <c r="D9" s="173">
        <f>'Informações e Quantidades'!E9</f>
        <v>1</v>
      </c>
      <c r="E9" s="174">
        <f t="shared" ref="E9:E13" si="0">C9*D9</f>
        <v>6.9</v>
      </c>
    </row>
    <row r="10" spans="1:5" ht="14.25" customHeight="1">
      <c r="A10" s="17">
        <v>3</v>
      </c>
      <c r="B10" s="46" t="s">
        <v>113</v>
      </c>
      <c r="C10" s="172">
        <v>4.8499999999999996</v>
      </c>
      <c r="D10" s="173">
        <f>'Informações e Quantidades'!F10</f>
        <v>1</v>
      </c>
      <c r="E10" s="174">
        <f t="shared" si="0"/>
        <v>4.8499999999999996</v>
      </c>
    </row>
    <row r="11" spans="1:5" ht="14.25" customHeight="1">
      <c r="A11" s="17">
        <v>4</v>
      </c>
      <c r="B11" s="46" t="s">
        <v>115</v>
      </c>
      <c r="C11" s="172">
        <v>5.25</v>
      </c>
      <c r="D11" s="173">
        <f>'Informações e Quantidades'!E11</f>
        <v>1</v>
      </c>
      <c r="E11" s="174">
        <f t="shared" si="0"/>
        <v>5.25</v>
      </c>
    </row>
    <row r="12" spans="1:5" ht="14.25" customHeight="1">
      <c r="A12" s="17">
        <v>5</v>
      </c>
      <c r="B12" s="46" t="s">
        <v>117</v>
      </c>
      <c r="C12" s="172">
        <v>6.5</v>
      </c>
      <c r="D12" s="173">
        <f>'Informações e Quantidades'!E12</f>
        <v>1</v>
      </c>
      <c r="E12" s="174">
        <f t="shared" si="0"/>
        <v>6.5</v>
      </c>
    </row>
    <row r="13" spans="1:5" ht="14.25" customHeight="1">
      <c r="A13" s="17">
        <v>6</v>
      </c>
      <c r="B13" s="46" t="s">
        <v>119</v>
      </c>
      <c r="C13" s="172">
        <v>6.8</v>
      </c>
      <c r="D13" s="173">
        <f>'Informações e Quantidades'!E13</f>
        <v>1</v>
      </c>
      <c r="E13" s="174">
        <f t="shared" si="0"/>
        <v>6.8</v>
      </c>
    </row>
    <row r="14" spans="1:5" ht="14.25" customHeight="1">
      <c r="A14" s="18"/>
      <c r="B14" s="18"/>
      <c r="C14" s="175" t="s">
        <v>29</v>
      </c>
      <c r="D14" s="176">
        <f>SUM(D8:D13)</f>
        <v>6</v>
      </c>
      <c r="E14" s="176">
        <f>SUM(E8:E13)</f>
        <v>37.199999999999996</v>
      </c>
    </row>
    <row r="16" spans="1:5" ht="69" customHeight="1">
      <c r="A16" s="556" t="s">
        <v>434</v>
      </c>
      <c r="B16" s="556"/>
      <c r="C16" s="556"/>
      <c r="D16" s="556"/>
      <c r="E16" s="556"/>
    </row>
    <row r="18" spans="1:5" ht="14.65" customHeight="1">
      <c r="A18" s="455" t="s">
        <v>439</v>
      </c>
      <c r="B18" s="455"/>
      <c r="C18" s="455"/>
      <c r="D18" s="455"/>
      <c r="E18" s="455"/>
    </row>
    <row r="19" spans="1:5" ht="14.65" customHeight="1">
      <c r="A19" s="177"/>
      <c r="B19" s="178"/>
      <c r="C19" s="178"/>
      <c r="D19" s="178"/>
      <c r="E19" s="178"/>
    </row>
    <row r="20" spans="1:5" ht="14.65" customHeight="1">
      <c r="A20" s="557" t="s">
        <v>440</v>
      </c>
      <c r="B20" s="557"/>
      <c r="C20" s="557"/>
      <c r="D20" s="557"/>
      <c r="E20" s="557"/>
    </row>
    <row r="21" spans="1:5" ht="54" customHeight="1">
      <c r="A21" s="219" t="s">
        <v>441</v>
      </c>
      <c r="B21" s="219" t="s">
        <v>442</v>
      </c>
      <c r="C21" s="219" t="s">
        <v>443</v>
      </c>
      <c r="D21" s="219" t="s">
        <v>444</v>
      </c>
      <c r="E21" s="219" t="s">
        <v>445</v>
      </c>
    </row>
    <row r="22" spans="1:5" ht="14.65" customHeight="1">
      <c r="A22" s="220" t="s">
        <v>446</v>
      </c>
      <c r="B22" s="213">
        <v>80.62</v>
      </c>
      <c r="C22" s="214">
        <v>4</v>
      </c>
      <c r="D22" s="215">
        <f>ROUND((B22*C22),2)</f>
        <v>322.48</v>
      </c>
      <c r="E22" s="215">
        <f>ROUND((D22/12),2)</f>
        <v>26.87</v>
      </c>
    </row>
    <row r="23" spans="1:5" ht="14.65" customHeight="1">
      <c r="A23" s="221" t="s">
        <v>447</v>
      </c>
      <c r="B23" s="216">
        <v>90.37</v>
      </c>
      <c r="C23" s="217">
        <v>4</v>
      </c>
      <c r="D23" s="218">
        <f>ROUND((B23*C23),2)</f>
        <v>361.48</v>
      </c>
      <c r="E23" s="218">
        <f>ROUND((D23/12),2)</f>
        <v>30.12</v>
      </c>
    </row>
    <row r="24" spans="1:5" ht="14.65" customHeight="1">
      <c r="A24" s="220" t="s">
        <v>448</v>
      </c>
      <c r="B24" s="213">
        <v>129.97999999999999</v>
      </c>
      <c r="C24" s="214">
        <v>2</v>
      </c>
      <c r="D24" s="215">
        <f>ROUND((B24*C24),2)</f>
        <v>259.95999999999998</v>
      </c>
      <c r="E24" s="215">
        <f>ROUND((D24/12),2)</f>
        <v>21.66</v>
      </c>
    </row>
    <row r="25" spans="1:5" ht="14.65" customHeight="1">
      <c r="A25" s="221" t="s">
        <v>449</v>
      </c>
      <c r="B25" s="216">
        <v>11.9</v>
      </c>
      <c r="C25" s="217">
        <v>1</v>
      </c>
      <c r="D25" s="218">
        <f>ROUND((B25*C25),2)</f>
        <v>11.9</v>
      </c>
      <c r="E25" s="218">
        <f>ROUND((D25/12),2)</f>
        <v>0.99</v>
      </c>
    </row>
    <row r="26" spans="1:5" ht="14.65" customHeight="1">
      <c r="A26" s="553" t="s">
        <v>450</v>
      </c>
      <c r="B26" s="554"/>
      <c r="C26" s="554"/>
      <c r="D26" s="555"/>
      <c r="E26" s="222">
        <f>TRUNC(SUM(E22:E25),2)</f>
        <v>79.64</v>
      </c>
    </row>
    <row r="27" spans="1:5" ht="14.65" customHeight="1">
      <c r="A27" s="179"/>
      <c r="B27" s="179"/>
      <c r="C27" s="179"/>
      <c r="D27" s="179"/>
      <c r="E27" s="179"/>
    </row>
    <row r="28" spans="1:5" ht="14.65" customHeight="1">
      <c r="A28" s="557" t="s">
        <v>451</v>
      </c>
      <c r="B28" s="558"/>
      <c r="C28" s="557"/>
      <c r="D28" s="557"/>
      <c r="E28" s="557"/>
    </row>
    <row r="29" spans="1:5" ht="14.65" customHeight="1">
      <c r="A29" s="388" t="s">
        <v>16</v>
      </c>
      <c r="B29" s="391"/>
      <c r="C29" s="223" t="s">
        <v>452</v>
      </c>
      <c r="D29" s="223"/>
      <c r="E29" s="223"/>
    </row>
    <row r="30" spans="1:5" ht="14.65" customHeight="1">
      <c r="A30" s="389"/>
      <c r="B30" s="392" t="s">
        <v>453</v>
      </c>
      <c r="C30" s="224" t="s">
        <v>454</v>
      </c>
      <c r="D30" s="224" t="s">
        <v>455</v>
      </c>
      <c r="E30" s="224" t="s">
        <v>456</v>
      </c>
    </row>
    <row r="31" spans="1:5" ht="14.65" customHeight="1">
      <c r="A31" s="225">
        <v>1</v>
      </c>
      <c r="B31" s="226"/>
      <c r="C31" s="390">
        <v>54.99</v>
      </c>
      <c r="D31" s="390">
        <v>60</v>
      </c>
      <c r="E31" s="390">
        <v>64.900000000000006</v>
      </c>
    </row>
    <row r="32" spans="1:5" ht="14.65" customHeight="1">
      <c r="A32" s="227"/>
      <c r="B32" s="227"/>
      <c r="C32" s="228"/>
      <c r="D32" s="228"/>
      <c r="E32" s="228"/>
    </row>
    <row r="33" spans="1:5" ht="14.65" customHeight="1">
      <c r="A33" s="227"/>
      <c r="B33" s="227"/>
      <c r="C33" s="229" t="s">
        <v>259</v>
      </c>
      <c r="D33" s="229">
        <f>(ROUND(AVERAGE(C31:E31),2))</f>
        <v>59.96</v>
      </c>
      <c r="E33" s="229"/>
    </row>
  </sheetData>
  <mergeCells count="10">
    <mergeCell ref="A26:D26"/>
    <mergeCell ref="A16:E16"/>
    <mergeCell ref="A18:E18"/>
    <mergeCell ref="A20:E20"/>
    <mergeCell ref="A28:E28"/>
    <mergeCell ref="A1:E1"/>
    <mergeCell ref="A2:E2"/>
    <mergeCell ref="A3:E3"/>
    <mergeCell ref="A4:E4"/>
    <mergeCell ref="A5:E5"/>
  </mergeCells>
  <pageMargins left="0.78749999999999998" right="0.78749999999999998" top="1.1513888888888899" bottom="1.1513888888888899" header="0.78749999999999998" footer="0.78749999999999998"/>
  <pageSetup paperSize="9" firstPageNumber="0" orientation="portrait" horizontalDpi="300" verticalDpi="300"/>
  <headerFooter>
    <oddHeader>&amp;C&amp;"Times New Roman1,Regular"&amp;12&amp;A</oddHeader>
    <oddFooter>&amp;C&amp;"Times New Roman1,Regular"&amp;12Página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D19"/>
  <sheetViews>
    <sheetView zoomScaleNormal="100" workbookViewId="0">
      <selection activeCell="C16" sqref="C16"/>
    </sheetView>
  </sheetViews>
  <sheetFormatPr defaultColWidth="8.5" defaultRowHeight="14.25"/>
  <cols>
    <col min="1" max="1" width="18.5" customWidth="1"/>
    <col min="2" max="2" width="24.375" customWidth="1"/>
    <col min="3" max="3" width="8" customWidth="1"/>
    <col min="4" max="4" width="11.25" style="312" customWidth="1"/>
    <col min="5" max="5" width="8" customWidth="1"/>
    <col min="6" max="6" width="11.25" customWidth="1"/>
    <col min="7" max="59" width="8" customWidth="1"/>
  </cols>
  <sheetData>
    <row r="1" spans="1:4" ht="18.75" customHeight="1">
      <c r="A1" s="452" t="s">
        <v>1</v>
      </c>
      <c r="B1" s="452"/>
      <c r="C1" s="452"/>
      <c r="D1" s="452"/>
    </row>
    <row r="2" spans="1:4">
      <c r="A2" s="453" t="s">
        <v>89</v>
      </c>
      <c r="B2" s="453"/>
      <c r="C2" s="453"/>
      <c r="D2" s="453"/>
    </row>
    <row r="3" spans="1:4">
      <c r="A3" s="453" t="s">
        <v>3</v>
      </c>
      <c r="B3" s="453"/>
      <c r="C3" s="453"/>
      <c r="D3" s="453"/>
    </row>
    <row r="4" spans="1:4" ht="15.75" customHeight="1">
      <c r="A4" s="563" t="s">
        <v>457</v>
      </c>
      <c r="B4" s="563"/>
      <c r="C4" s="563"/>
      <c r="D4" s="563"/>
    </row>
    <row r="5" spans="1:4">
      <c r="A5" s="180"/>
      <c r="B5" s="180"/>
      <c r="C5" s="180"/>
      <c r="D5" s="305"/>
    </row>
    <row r="6" spans="1:4" ht="14.25" customHeight="1">
      <c r="A6" s="564" t="s">
        <v>458</v>
      </c>
      <c r="B6" s="564"/>
      <c r="C6" s="564"/>
      <c r="D6" s="564"/>
    </row>
    <row r="7" spans="1:4">
      <c r="A7" s="181" t="s">
        <v>16</v>
      </c>
      <c r="B7" s="181" t="s">
        <v>17</v>
      </c>
      <c r="C7" s="306" t="s">
        <v>459</v>
      </c>
      <c r="D7" s="306" t="s">
        <v>460</v>
      </c>
    </row>
    <row r="8" spans="1:4" ht="12.75" customHeight="1">
      <c r="A8" s="17">
        <v>1</v>
      </c>
      <c r="B8" s="18" t="s">
        <v>461</v>
      </c>
      <c r="C8" s="307">
        <v>6.41</v>
      </c>
      <c r="D8" s="310" t="s">
        <v>462</v>
      </c>
    </row>
    <row r="9" spans="1:4" ht="12.75" customHeight="1">
      <c r="A9" s="34"/>
      <c r="B9" s="35" t="s">
        <v>0</v>
      </c>
      <c r="C9" s="308">
        <f>C8</f>
        <v>6.41</v>
      </c>
      <c r="D9" s="311" t="str">
        <f>D8</f>
        <v>6,53</v>
      </c>
    </row>
    <row r="11" spans="1:4" ht="12.75" customHeight="1">
      <c r="A11" s="560" t="s">
        <v>463</v>
      </c>
      <c r="B11" s="560"/>
      <c r="C11" s="560"/>
      <c r="D11" s="560"/>
    </row>
    <row r="12" spans="1:4">
      <c r="B12" s="1"/>
      <c r="C12" s="1"/>
      <c r="D12" s="188"/>
    </row>
    <row r="13" spans="1:4" ht="15.75">
      <c r="A13" s="565" t="s">
        <v>464</v>
      </c>
      <c r="B13" s="566"/>
      <c r="C13" s="566"/>
      <c r="D13" s="566"/>
    </row>
    <row r="14" spans="1:4" ht="15">
      <c r="A14" s="183"/>
      <c r="B14" s="567" t="s">
        <v>430</v>
      </c>
      <c r="C14" s="567"/>
      <c r="D14" s="567"/>
    </row>
    <row r="15" spans="1:4" ht="15">
      <c r="A15" s="184" t="s">
        <v>379</v>
      </c>
      <c r="B15" s="568" t="s">
        <v>155</v>
      </c>
      <c r="C15" s="568"/>
      <c r="D15" s="568"/>
    </row>
    <row r="16" spans="1:4">
      <c r="A16" s="131" t="s">
        <v>465</v>
      </c>
      <c r="B16" s="209"/>
      <c r="C16" s="133">
        <v>5.05</v>
      </c>
    </row>
    <row r="17" spans="1:4" ht="15">
      <c r="A17" s="185" t="s">
        <v>389</v>
      </c>
      <c r="B17" s="210"/>
      <c r="C17" s="182"/>
      <c r="D17" s="309"/>
    </row>
    <row r="18" spans="1:4">
      <c r="A18" s="559"/>
      <c r="B18" s="559"/>
      <c r="C18" s="559"/>
      <c r="D18" s="559"/>
    </row>
    <row r="19" spans="1:4" ht="42.75" customHeight="1">
      <c r="A19" s="561" t="s">
        <v>466</v>
      </c>
      <c r="B19" s="562"/>
      <c r="C19" s="562"/>
      <c r="D19" s="562"/>
    </row>
  </sheetData>
  <mergeCells count="11">
    <mergeCell ref="A18:D18"/>
    <mergeCell ref="A11:D11"/>
    <mergeCell ref="A19:D19"/>
    <mergeCell ref="A1:D1"/>
    <mergeCell ref="A2:D2"/>
    <mergeCell ref="A3:D3"/>
    <mergeCell ref="A4:D4"/>
    <mergeCell ref="A6:D6"/>
    <mergeCell ref="A13:D13"/>
    <mergeCell ref="B14:D14"/>
    <mergeCell ref="B15:D15"/>
  </mergeCells>
  <pageMargins left="0.51180555555555496" right="0.51180555555555496" top="1.1812499999999999" bottom="1.1812499999999999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1</vt:i4>
      </vt:variant>
    </vt:vector>
  </HeadingPairs>
  <TitlesOfParts>
    <vt:vector size="10" baseType="lpstr">
      <vt:lpstr>Formação de Preços</vt:lpstr>
      <vt:lpstr>Informações e Quantidades</vt:lpstr>
      <vt:lpstr>SC </vt:lpstr>
      <vt:lpstr>Valores e modelos Veículos</vt:lpstr>
      <vt:lpstr>Veículos - Custo Fixo</vt:lpstr>
      <vt:lpstr>Veículos - Custo Variável</vt:lpstr>
      <vt:lpstr>Ajuda de Custo</vt:lpstr>
      <vt:lpstr>VT, Uniforme e Plano Celular</vt:lpstr>
      <vt:lpstr>Combustíveis e Pedágios</vt:lpstr>
      <vt:lpstr>'SC '!Print_Area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inss</dc:creator>
  <cp:keywords/>
  <dc:description/>
  <cp:lastModifiedBy>inss</cp:lastModifiedBy>
  <cp:revision>10</cp:revision>
  <dcterms:created xsi:type="dcterms:W3CDTF">2022-10-27T19:53:10Z</dcterms:created>
  <dcterms:modified xsi:type="dcterms:W3CDTF">2025-02-28T14:56:05Z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